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G:\Valuation\TY 2025\Residential\Res Model Information\YN1\"/>
    </mc:Choice>
  </mc:AlternateContent>
  <xr:revisionPtr revIDLastSave="0" documentId="13_ncr:1_{85C16C35-0F4B-44EC-AFAC-375A04107B8E}" xr6:coauthVersionLast="47" xr6:coauthVersionMax="47" xr10:uidLastSave="{00000000-0000-0000-0000-000000000000}"/>
  <bookViews>
    <workbookView xWindow="-108" yWindow="-108" windowWidth="46296" windowHeight="25416" activeTab="4" xr2:uid="{00000000-000D-0000-FFFF-FFFF00000000}"/>
  </bookViews>
  <sheets>
    <sheet name="Lookups" sheetId="2" r:id="rId1"/>
    <sheet name="Pivots" sheetId="3" r:id="rId2"/>
    <sheet name="YN1 Model TY 2025" sheetId="1" r:id="rId3"/>
    <sheet name="Trimmed Sales" sheetId="4" r:id="rId4"/>
    <sheet name="Ratio Study" sheetId="6" r:id="rId5"/>
  </sheets>
  <calcPr calcId="191029"/>
  <pivotCaches>
    <pivotCache cacheId="1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" l="1"/>
  <c r="K204" i="6"/>
  <c r="L204" i="6" s="1"/>
  <c r="M204" i="6" s="1"/>
  <c r="I204" i="6"/>
  <c r="J204" i="6" s="1"/>
  <c r="K203" i="6"/>
  <c r="L203" i="6" s="1"/>
  <c r="M203" i="6" s="1"/>
  <c r="I203" i="6"/>
  <c r="J203" i="6" s="1"/>
  <c r="M202" i="6"/>
  <c r="K202" i="6"/>
  <c r="L202" i="6" s="1"/>
  <c r="I202" i="6"/>
  <c r="J202" i="6" s="1"/>
  <c r="L201" i="6"/>
  <c r="M201" i="6" s="1"/>
  <c r="K201" i="6"/>
  <c r="J201" i="6"/>
  <c r="I201" i="6"/>
  <c r="K200" i="6"/>
  <c r="L200" i="6" s="1"/>
  <c r="M200" i="6" s="1"/>
  <c r="I200" i="6"/>
  <c r="J200" i="6" s="1"/>
  <c r="K199" i="6"/>
  <c r="L199" i="6" s="1"/>
  <c r="M199" i="6" s="1"/>
  <c r="I199" i="6"/>
  <c r="J199" i="6" s="1"/>
  <c r="K198" i="6"/>
  <c r="L198" i="6" s="1"/>
  <c r="M198" i="6" s="1"/>
  <c r="I198" i="6"/>
  <c r="J198" i="6" s="1"/>
  <c r="L197" i="6"/>
  <c r="M197" i="6" s="1"/>
  <c r="K197" i="6"/>
  <c r="J197" i="6"/>
  <c r="I197" i="6"/>
  <c r="K196" i="6"/>
  <c r="L196" i="6" s="1"/>
  <c r="M196" i="6" s="1"/>
  <c r="I196" i="6"/>
  <c r="J196" i="6" s="1"/>
  <c r="K195" i="6"/>
  <c r="L195" i="6" s="1"/>
  <c r="M195" i="6" s="1"/>
  <c r="I195" i="6"/>
  <c r="J195" i="6" s="1"/>
  <c r="K194" i="6"/>
  <c r="L194" i="6" s="1"/>
  <c r="M194" i="6" s="1"/>
  <c r="I194" i="6"/>
  <c r="J194" i="6" s="1"/>
  <c r="K193" i="6"/>
  <c r="L193" i="6" s="1"/>
  <c r="M193" i="6" s="1"/>
  <c r="J193" i="6"/>
  <c r="I193" i="6"/>
  <c r="K192" i="6"/>
  <c r="L192" i="6" s="1"/>
  <c r="M192" i="6" s="1"/>
  <c r="I192" i="6"/>
  <c r="J192" i="6" s="1"/>
  <c r="K191" i="6"/>
  <c r="L191" i="6" s="1"/>
  <c r="M191" i="6" s="1"/>
  <c r="I191" i="6"/>
  <c r="J191" i="6" s="1"/>
  <c r="K190" i="6"/>
  <c r="L190" i="6" s="1"/>
  <c r="M190" i="6" s="1"/>
  <c r="I190" i="6"/>
  <c r="J190" i="6" s="1"/>
  <c r="L189" i="6"/>
  <c r="M189" i="6" s="1"/>
  <c r="K189" i="6"/>
  <c r="J189" i="6"/>
  <c r="I189" i="6"/>
  <c r="K188" i="6"/>
  <c r="L188" i="6" s="1"/>
  <c r="M188" i="6" s="1"/>
  <c r="I188" i="6"/>
  <c r="J188" i="6" s="1"/>
  <c r="K187" i="6"/>
  <c r="L187" i="6" s="1"/>
  <c r="M187" i="6" s="1"/>
  <c r="I187" i="6"/>
  <c r="J187" i="6" s="1"/>
  <c r="M186" i="6"/>
  <c r="K186" i="6"/>
  <c r="L186" i="6" s="1"/>
  <c r="I186" i="6"/>
  <c r="J186" i="6" s="1"/>
  <c r="L185" i="6"/>
  <c r="M185" i="6" s="1"/>
  <c r="K185" i="6"/>
  <c r="J185" i="6"/>
  <c r="I185" i="6"/>
  <c r="K184" i="6"/>
  <c r="L184" i="6" s="1"/>
  <c r="M184" i="6" s="1"/>
  <c r="I184" i="6"/>
  <c r="J184" i="6" s="1"/>
  <c r="K183" i="6"/>
  <c r="L183" i="6" s="1"/>
  <c r="M183" i="6" s="1"/>
  <c r="I183" i="6"/>
  <c r="J183" i="6" s="1"/>
  <c r="K182" i="6"/>
  <c r="L182" i="6" s="1"/>
  <c r="M182" i="6" s="1"/>
  <c r="I182" i="6"/>
  <c r="J182" i="6" s="1"/>
  <c r="L181" i="6"/>
  <c r="M181" i="6" s="1"/>
  <c r="K181" i="6"/>
  <c r="J181" i="6"/>
  <c r="I181" i="6"/>
  <c r="K180" i="6"/>
  <c r="L180" i="6" s="1"/>
  <c r="M180" i="6" s="1"/>
  <c r="I180" i="6"/>
  <c r="J180" i="6" s="1"/>
  <c r="K179" i="6"/>
  <c r="L179" i="6" s="1"/>
  <c r="M179" i="6" s="1"/>
  <c r="I179" i="6"/>
  <c r="J179" i="6" s="1"/>
  <c r="K178" i="6"/>
  <c r="L178" i="6" s="1"/>
  <c r="M178" i="6" s="1"/>
  <c r="I178" i="6"/>
  <c r="J178" i="6" s="1"/>
  <c r="K177" i="6"/>
  <c r="L177" i="6" s="1"/>
  <c r="M177" i="6" s="1"/>
  <c r="J177" i="6"/>
  <c r="I177" i="6"/>
  <c r="K176" i="6"/>
  <c r="L176" i="6" s="1"/>
  <c r="M176" i="6" s="1"/>
  <c r="I176" i="6"/>
  <c r="J176" i="6" s="1"/>
  <c r="K175" i="6"/>
  <c r="L175" i="6" s="1"/>
  <c r="M175" i="6" s="1"/>
  <c r="I175" i="6"/>
  <c r="J175" i="6" s="1"/>
  <c r="K174" i="6"/>
  <c r="L174" i="6" s="1"/>
  <c r="M174" i="6" s="1"/>
  <c r="I174" i="6"/>
  <c r="J174" i="6" s="1"/>
  <c r="L173" i="6"/>
  <c r="M173" i="6" s="1"/>
  <c r="K173" i="6"/>
  <c r="J173" i="6"/>
  <c r="I173" i="6"/>
  <c r="K172" i="6"/>
  <c r="L172" i="6" s="1"/>
  <c r="M172" i="6" s="1"/>
  <c r="I172" i="6"/>
  <c r="J172" i="6" s="1"/>
  <c r="K171" i="6"/>
  <c r="L171" i="6" s="1"/>
  <c r="M171" i="6" s="1"/>
  <c r="I171" i="6"/>
  <c r="J171" i="6" s="1"/>
  <c r="K170" i="6"/>
  <c r="L170" i="6" s="1"/>
  <c r="M170" i="6" s="1"/>
  <c r="I170" i="6"/>
  <c r="J170" i="6" s="1"/>
  <c r="L169" i="6"/>
  <c r="M169" i="6" s="1"/>
  <c r="K169" i="6"/>
  <c r="J169" i="6"/>
  <c r="I169" i="6"/>
  <c r="K168" i="6"/>
  <c r="L168" i="6" s="1"/>
  <c r="M168" i="6" s="1"/>
  <c r="I168" i="6"/>
  <c r="J168" i="6" s="1"/>
  <c r="K167" i="6"/>
  <c r="L167" i="6" s="1"/>
  <c r="M167" i="6" s="1"/>
  <c r="I167" i="6"/>
  <c r="J167" i="6" s="1"/>
  <c r="K166" i="6"/>
  <c r="L166" i="6" s="1"/>
  <c r="M166" i="6" s="1"/>
  <c r="I166" i="6"/>
  <c r="J166" i="6" s="1"/>
  <c r="L165" i="6"/>
  <c r="M165" i="6" s="1"/>
  <c r="K165" i="6"/>
  <c r="J165" i="6"/>
  <c r="I165" i="6"/>
  <c r="K164" i="6"/>
  <c r="L164" i="6" s="1"/>
  <c r="M164" i="6" s="1"/>
  <c r="I164" i="6"/>
  <c r="J164" i="6" s="1"/>
  <c r="K163" i="6"/>
  <c r="L163" i="6" s="1"/>
  <c r="M163" i="6" s="1"/>
  <c r="I163" i="6"/>
  <c r="J163" i="6" s="1"/>
  <c r="K162" i="6"/>
  <c r="L162" i="6" s="1"/>
  <c r="M162" i="6" s="1"/>
  <c r="I162" i="6"/>
  <c r="J162" i="6" s="1"/>
  <c r="K161" i="6"/>
  <c r="L161" i="6" s="1"/>
  <c r="M161" i="6" s="1"/>
  <c r="J161" i="6"/>
  <c r="I161" i="6"/>
  <c r="K160" i="6"/>
  <c r="L160" i="6" s="1"/>
  <c r="M160" i="6" s="1"/>
  <c r="I160" i="6"/>
  <c r="J160" i="6" s="1"/>
  <c r="K159" i="6"/>
  <c r="L159" i="6" s="1"/>
  <c r="M159" i="6" s="1"/>
  <c r="I159" i="6"/>
  <c r="J159" i="6" s="1"/>
  <c r="K158" i="6"/>
  <c r="L158" i="6" s="1"/>
  <c r="M158" i="6" s="1"/>
  <c r="I158" i="6"/>
  <c r="J158" i="6" s="1"/>
  <c r="L157" i="6"/>
  <c r="M157" i="6" s="1"/>
  <c r="K157" i="6"/>
  <c r="J157" i="6"/>
  <c r="I157" i="6"/>
  <c r="K156" i="6"/>
  <c r="L156" i="6" s="1"/>
  <c r="M156" i="6" s="1"/>
  <c r="I156" i="6"/>
  <c r="J156" i="6" s="1"/>
  <c r="K155" i="6"/>
  <c r="L155" i="6" s="1"/>
  <c r="M155" i="6" s="1"/>
  <c r="I155" i="6"/>
  <c r="J155" i="6" s="1"/>
  <c r="K154" i="6"/>
  <c r="L154" i="6" s="1"/>
  <c r="M154" i="6" s="1"/>
  <c r="I154" i="6"/>
  <c r="J154" i="6" s="1"/>
  <c r="L153" i="6"/>
  <c r="M153" i="6" s="1"/>
  <c r="K153" i="6"/>
  <c r="J153" i="6"/>
  <c r="I153" i="6"/>
  <c r="K152" i="6"/>
  <c r="L152" i="6" s="1"/>
  <c r="M152" i="6" s="1"/>
  <c r="I152" i="6"/>
  <c r="J152" i="6" s="1"/>
  <c r="K151" i="6"/>
  <c r="L151" i="6" s="1"/>
  <c r="M151" i="6" s="1"/>
  <c r="I151" i="6"/>
  <c r="J151" i="6" s="1"/>
  <c r="K150" i="6"/>
  <c r="L150" i="6" s="1"/>
  <c r="M150" i="6" s="1"/>
  <c r="I150" i="6"/>
  <c r="J150" i="6" s="1"/>
  <c r="L149" i="6"/>
  <c r="M149" i="6" s="1"/>
  <c r="K149" i="6"/>
  <c r="J149" i="6"/>
  <c r="I149" i="6"/>
  <c r="K148" i="6"/>
  <c r="L148" i="6" s="1"/>
  <c r="M148" i="6" s="1"/>
  <c r="I148" i="6"/>
  <c r="J148" i="6" s="1"/>
  <c r="K147" i="6"/>
  <c r="L147" i="6" s="1"/>
  <c r="M147" i="6" s="1"/>
  <c r="I147" i="6"/>
  <c r="J147" i="6" s="1"/>
  <c r="K146" i="6"/>
  <c r="L146" i="6" s="1"/>
  <c r="M146" i="6" s="1"/>
  <c r="I146" i="6"/>
  <c r="J146" i="6" s="1"/>
  <c r="K145" i="6"/>
  <c r="L145" i="6" s="1"/>
  <c r="M145" i="6" s="1"/>
  <c r="J145" i="6"/>
  <c r="I145" i="6"/>
  <c r="K144" i="6"/>
  <c r="L144" i="6" s="1"/>
  <c r="M144" i="6" s="1"/>
  <c r="I144" i="6"/>
  <c r="J144" i="6" s="1"/>
  <c r="K143" i="6"/>
  <c r="L143" i="6" s="1"/>
  <c r="M143" i="6" s="1"/>
  <c r="I143" i="6"/>
  <c r="J143" i="6" s="1"/>
  <c r="K142" i="6"/>
  <c r="L142" i="6" s="1"/>
  <c r="M142" i="6" s="1"/>
  <c r="I142" i="6"/>
  <c r="J142" i="6" s="1"/>
  <c r="L141" i="6"/>
  <c r="M141" i="6" s="1"/>
  <c r="K141" i="6"/>
  <c r="J141" i="6"/>
  <c r="I141" i="6"/>
  <c r="K140" i="6"/>
  <c r="L140" i="6" s="1"/>
  <c r="M140" i="6" s="1"/>
  <c r="I140" i="6"/>
  <c r="J140" i="6" s="1"/>
  <c r="K139" i="6"/>
  <c r="L139" i="6" s="1"/>
  <c r="M139" i="6" s="1"/>
  <c r="I139" i="6"/>
  <c r="J139" i="6" s="1"/>
  <c r="M138" i="6"/>
  <c r="K138" i="6"/>
  <c r="L138" i="6" s="1"/>
  <c r="I138" i="6"/>
  <c r="J138" i="6" s="1"/>
  <c r="L137" i="6"/>
  <c r="M137" i="6" s="1"/>
  <c r="K137" i="6"/>
  <c r="J137" i="6"/>
  <c r="I137" i="6"/>
  <c r="K136" i="6"/>
  <c r="L136" i="6" s="1"/>
  <c r="M136" i="6" s="1"/>
  <c r="I136" i="6"/>
  <c r="J136" i="6" s="1"/>
  <c r="K135" i="6"/>
  <c r="L135" i="6" s="1"/>
  <c r="M135" i="6" s="1"/>
  <c r="I135" i="6"/>
  <c r="J135" i="6" s="1"/>
  <c r="K134" i="6"/>
  <c r="L134" i="6" s="1"/>
  <c r="M134" i="6" s="1"/>
  <c r="I134" i="6"/>
  <c r="J134" i="6" s="1"/>
  <c r="L133" i="6"/>
  <c r="M133" i="6" s="1"/>
  <c r="K133" i="6"/>
  <c r="J133" i="6"/>
  <c r="I133" i="6"/>
  <c r="K132" i="6"/>
  <c r="L132" i="6" s="1"/>
  <c r="M132" i="6" s="1"/>
  <c r="I132" i="6"/>
  <c r="J132" i="6" s="1"/>
  <c r="K131" i="6"/>
  <c r="L131" i="6" s="1"/>
  <c r="M131" i="6" s="1"/>
  <c r="I131" i="6"/>
  <c r="J131" i="6" s="1"/>
  <c r="K130" i="6"/>
  <c r="L130" i="6" s="1"/>
  <c r="M130" i="6" s="1"/>
  <c r="I130" i="6"/>
  <c r="J130" i="6" s="1"/>
  <c r="L129" i="6"/>
  <c r="M129" i="6" s="1"/>
  <c r="K129" i="6"/>
  <c r="J129" i="6"/>
  <c r="I129" i="6"/>
  <c r="K128" i="6"/>
  <c r="L128" i="6" s="1"/>
  <c r="M128" i="6" s="1"/>
  <c r="I128" i="6"/>
  <c r="J128" i="6" s="1"/>
  <c r="K127" i="6"/>
  <c r="L127" i="6" s="1"/>
  <c r="M127" i="6" s="1"/>
  <c r="I127" i="6"/>
  <c r="J127" i="6" s="1"/>
  <c r="K126" i="6"/>
  <c r="L126" i="6" s="1"/>
  <c r="M126" i="6" s="1"/>
  <c r="I126" i="6"/>
  <c r="J126" i="6" s="1"/>
  <c r="L125" i="6"/>
  <c r="M125" i="6" s="1"/>
  <c r="K125" i="6"/>
  <c r="J125" i="6"/>
  <c r="I125" i="6"/>
  <c r="K124" i="6"/>
  <c r="L124" i="6" s="1"/>
  <c r="M124" i="6" s="1"/>
  <c r="I124" i="6"/>
  <c r="J124" i="6" s="1"/>
  <c r="K123" i="6"/>
  <c r="L123" i="6" s="1"/>
  <c r="M123" i="6" s="1"/>
  <c r="I123" i="6"/>
  <c r="J123" i="6" s="1"/>
  <c r="K122" i="6"/>
  <c r="L122" i="6" s="1"/>
  <c r="M122" i="6" s="1"/>
  <c r="I122" i="6"/>
  <c r="J122" i="6" s="1"/>
  <c r="L121" i="6"/>
  <c r="M121" i="6" s="1"/>
  <c r="K121" i="6"/>
  <c r="J121" i="6"/>
  <c r="I121" i="6"/>
  <c r="K120" i="6"/>
  <c r="L120" i="6" s="1"/>
  <c r="M120" i="6" s="1"/>
  <c r="I120" i="6"/>
  <c r="J120" i="6" s="1"/>
  <c r="K119" i="6"/>
  <c r="L119" i="6" s="1"/>
  <c r="M119" i="6" s="1"/>
  <c r="J119" i="6"/>
  <c r="I119" i="6"/>
  <c r="K118" i="6"/>
  <c r="L118" i="6" s="1"/>
  <c r="M118" i="6" s="1"/>
  <c r="J118" i="6"/>
  <c r="I118" i="6"/>
  <c r="K117" i="6"/>
  <c r="L117" i="6" s="1"/>
  <c r="M117" i="6" s="1"/>
  <c r="J117" i="6"/>
  <c r="I117" i="6"/>
  <c r="K116" i="6"/>
  <c r="L116" i="6" s="1"/>
  <c r="M116" i="6" s="1"/>
  <c r="I116" i="6"/>
  <c r="J116" i="6" s="1"/>
  <c r="K115" i="6"/>
  <c r="L115" i="6" s="1"/>
  <c r="M115" i="6" s="1"/>
  <c r="J115" i="6"/>
  <c r="I115" i="6"/>
  <c r="K114" i="6"/>
  <c r="L114" i="6" s="1"/>
  <c r="M114" i="6" s="1"/>
  <c r="J114" i="6"/>
  <c r="I114" i="6"/>
  <c r="K113" i="6"/>
  <c r="L113" i="6" s="1"/>
  <c r="M113" i="6" s="1"/>
  <c r="J113" i="6"/>
  <c r="I113" i="6"/>
  <c r="K112" i="6"/>
  <c r="L112" i="6" s="1"/>
  <c r="M112" i="6" s="1"/>
  <c r="I112" i="6"/>
  <c r="J112" i="6" s="1"/>
  <c r="K111" i="6"/>
  <c r="L111" i="6" s="1"/>
  <c r="M111" i="6" s="1"/>
  <c r="J111" i="6"/>
  <c r="I111" i="6"/>
  <c r="M110" i="6"/>
  <c r="K110" i="6"/>
  <c r="L110" i="6" s="1"/>
  <c r="J110" i="6"/>
  <c r="I110" i="6"/>
  <c r="L109" i="6"/>
  <c r="M109" i="6" s="1"/>
  <c r="K109" i="6"/>
  <c r="J109" i="6"/>
  <c r="I109" i="6"/>
  <c r="K108" i="6"/>
  <c r="L108" i="6" s="1"/>
  <c r="M108" i="6" s="1"/>
  <c r="I108" i="6"/>
  <c r="J108" i="6" s="1"/>
  <c r="K107" i="6"/>
  <c r="L107" i="6" s="1"/>
  <c r="M107" i="6" s="1"/>
  <c r="J107" i="6"/>
  <c r="I107" i="6"/>
  <c r="M106" i="6"/>
  <c r="K106" i="6"/>
  <c r="L106" i="6" s="1"/>
  <c r="J106" i="6"/>
  <c r="I106" i="6"/>
  <c r="L105" i="6"/>
  <c r="M105" i="6" s="1"/>
  <c r="K105" i="6"/>
  <c r="J105" i="6"/>
  <c r="I105" i="6"/>
  <c r="K104" i="6"/>
  <c r="L104" i="6" s="1"/>
  <c r="M104" i="6" s="1"/>
  <c r="I104" i="6"/>
  <c r="J104" i="6" s="1"/>
  <c r="K103" i="6"/>
  <c r="L103" i="6" s="1"/>
  <c r="M103" i="6" s="1"/>
  <c r="J103" i="6"/>
  <c r="I103" i="6"/>
  <c r="K102" i="6"/>
  <c r="L102" i="6" s="1"/>
  <c r="M102" i="6" s="1"/>
  <c r="J102" i="6"/>
  <c r="I102" i="6"/>
  <c r="L101" i="6"/>
  <c r="M101" i="6" s="1"/>
  <c r="K101" i="6"/>
  <c r="J101" i="6"/>
  <c r="I101" i="6"/>
  <c r="K100" i="6"/>
  <c r="L100" i="6" s="1"/>
  <c r="M100" i="6" s="1"/>
  <c r="I100" i="6"/>
  <c r="J100" i="6" s="1"/>
  <c r="K99" i="6"/>
  <c r="L99" i="6" s="1"/>
  <c r="M99" i="6" s="1"/>
  <c r="J99" i="6"/>
  <c r="I99" i="6"/>
  <c r="M98" i="6"/>
  <c r="K98" i="6"/>
  <c r="L98" i="6" s="1"/>
  <c r="J98" i="6"/>
  <c r="I98" i="6"/>
  <c r="K97" i="6"/>
  <c r="L97" i="6" s="1"/>
  <c r="M97" i="6" s="1"/>
  <c r="J97" i="6"/>
  <c r="I97" i="6"/>
  <c r="K96" i="6"/>
  <c r="L96" i="6" s="1"/>
  <c r="M96" i="6" s="1"/>
  <c r="I96" i="6"/>
  <c r="J96" i="6" s="1"/>
  <c r="K95" i="6"/>
  <c r="L95" i="6" s="1"/>
  <c r="M95" i="6" s="1"/>
  <c r="I95" i="6"/>
  <c r="J95" i="6" s="1"/>
  <c r="K94" i="6"/>
  <c r="L94" i="6" s="1"/>
  <c r="M94" i="6" s="1"/>
  <c r="I94" i="6"/>
  <c r="J94" i="6" s="1"/>
  <c r="L93" i="6"/>
  <c r="M93" i="6" s="1"/>
  <c r="K93" i="6"/>
  <c r="J93" i="6"/>
  <c r="I93" i="6"/>
  <c r="K92" i="6"/>
  <c r="L92" i="6" s="1"/>
  <c r="M92" i="6" s="1"/>
  <c r="I92" i="6"/>
  <c r="J92" i="6" s="1"/>
  <c r="K91" i="6"/>
  <c r="L91" i="6" s="1"/>
  <c r="M91" i="6" s="1"/>
  <c r="I91" i="6"/>
  <c r="J91" i="6" s="1"/>
  <c r="L90" i="6"/>
  <c r="M90" i="6" s="1"/>
  <c r="K90" i="6"/>
  <c r="I90" i="6"/>
  <c r="J90" i="6" s="1"/>
  <c r="L89" i="6"/>
  <c r="M89" i="6" s="1"/>
  <c r="K89" i="6"/>
  <c r="I89" i="6"/>
  <c r="J89" i="6" s="1"/>
  <c r="M88" i="6"/>
  <c r="L88" i="6"/>
  <c r="K88" i="6"/>
  <c r="I88" i="6"/>
  <c r="J88" i="6" s="1"/>
  <c r="L87" i="6"/>
  <c r="M87" i="6" s="1"/>
  <c r="K87" i="6"/>
  <c r="I87" i="6"/>
  <c r="J87" i="6" s="1"/>
  <c r="L86" i="6"/>
  <c r="M86" i="6" s="1"/>
  <c r="K86" i="6"/>
  <c r="I86" i="6"/>
  <c r="J86" i="6" s="1"/>
  <c r="K85" i="6"/>
  <c r="L85" i="6" s="1"/>
  <c r="M85" i="6" s="1"/>
  <c r="I85" i="6"/>
  <c r="J85" i="6" s="1"/>
  <c r="K84" i="6"/>
  <c r="L84" i="6" s="1"/>
  <c r="M84" i="6" s="1"/>
  <c r="I84" i="6"/>
  <c r="J84" i="6" s="1"/>
  <c r="L83" i="6"/>
  <c r="M83" i="6" s="1"/>
  <c r="K83" i="6"/>
  <c r="I83" i="6"/>
  <c r="J83" i="6" s="1"/>
  <c r="L82" i="6"/>
  <c r="M82" i="6" s="1"/>
  <c r="K82" i="6"/>
  <c r="I82" i="6"/>
  <c r="J82" i="6" s="1"/>
  <c r="K81" i="6"/>
  <c r="L81" i="6" s="1"/>
  <c r="M81" i="6" s="1"/>
  <c r="I81" i="6"/>
  <c r="J81" i="6" s="1"/>
  <c r="K80" i="6"/>
  <c r="L80" i="6" s="1"/>
  <c r="M80" i="6" s="1"/>
  <c r="I80" i="6"/>
  <c r="J80" i="6" s="1"/>
  <c r="K79" i="6"/>
  <c r="L79" i="6" s="1"/>
  <c r="M79" i="6" s="1"/>
  <c r="J79" i="6"/>
  <c r="I79" i="6"/>
  <c r="K78" i="6"/>
  <c r="L78" i="6" s="1"/>
  <c r="M78" i="6" s="1"/>
  <c r="I78" i="6"/>
  <c r="J78" i="6" s="1"/>
  <c r="L77" i="6"/>
  <c r="M77" i="6" s="1"/>
  <c r="K77" i="6"/>
  <c r="I77" i="6"/>
  <c r="J77" i="6" s="1"/>
  <c r="M76" i="6"/>
  <c r="L76" i="6"/>
  <c r="K76" i="6"/>
  <c r="I76" i="6"/>
  <c r="J76" i="6" s="1"/>
  <c r="L75" i="6"/>
  <c r="M75" i="6" s="1"/>
  <c r="K75" i="6"/>
  <c r="J75" i="6"/>
  <c r="I75" i="6"/>
  <c r="K74" i="6"/>
  <c r="L74" i="6" s="1"/>
  <c r="M74" i="6" s="1"/>
  <c r="I74" i="6"/>
  <c r="J74" i="6" s="1"/>
  <c r="L73" i="6"/>
  <c r="M73" i="6" s="1"/>
  <c r="K73" i="6"/>
  <c r="I73" i="6"/>
  <c r="J73" i="6" s="1"/>
  <c r="K72" i="6"/>
  <c r="L72" i="6" s="1"/>
  <c r="M72" i="6" s="1"/>
  <c r="I72" i="6"/>
  <c r="J72" i="6" s="1"/>
  <c r="K71" i="6"/>
  <c r="L71" i="6" s="1"/>
  <c r="M71" i="6" s="1"/>
  <c r="J71" i="6"/>
  <c r="I71" i="6"/>
  <c r="L70" i="6"/>
  <c r="M70" i="6" s="1"/>
  <c r="K70" i="6"/>
  <c r="I70" i="6"/>
  <c r="J70" i="6" s="1"/>
  <c r="L69" i="6"/>
  <c r="M69" i="6" s="1"/>
  <c r="K69" i="6"/>
  <c r="I69" i="6"/>
  <c r="J69" i="6" s="1"/>
  <c r="M68" i="6"/>
  <c r="L68" i="6"/>
  <c r="K68" i="6"/>
  <c r="I68" i="6"/>
  <c r="J68" i="6" s="1"/>
  <c r="L67" i="6"/>
  <c r="M67" i="6" s="1"/>
  <c r="K67" i="6"/>
  <c r="I67" i="6"/>
  <c r="J67" i="6" s="1"/>
  <c r="K66" i="6"/>
  <c r="L66" i="6" s="1"/>
  <c r="M66" i="6" s="1"/>
  <c r="I66" i="6"/>
  <c r="J66" i="6" s="1"/>
  <c r="K65" i="6"/>
  <c r="L65" i="6" s="1"/>
  <c r="M65" i="6" s="1"/>
  <c r="I65" i="6"/>
  <c r="J65" i="6" s="1"/>
  <c r="K64" i="6"/>
  <c r="L64" i="6" s="1"/>
  <c r="M64" i="6" s="1"/>
  <c r="I64" i="6"/>
  <c r="J64" i="6" s="1"/>
  <c r="K63" i="6"/>
  <c r="L63" i="6" s="1"/>
  <c r="M63" i="6" s="1"/>
  <c r="J63" i="6"/>
  <c r="I63" i="6"/>
  <c r="K62" i="6"/>
  <c r="L62" i="6" s="1"/>
  <c r="M62" i="6" s="1"/>
  <c r="I62" i="6"/>
  <c r="J62" i="6" s="1"/>
  <c r="L61" i="6"/>
  <c r="M61" i="6" s="1"/>
  <c r="K61" i="6"/>
  <c r="I61" i="6"/>
  <c r="J61" i="6" s="1"/>
  <c r="M60" i="6"/>
  <c r="L60" i="6"/>
  <c r="K60" i="6"/>
  <c r="I60" i="6"/>
  <c r="J60" i="6" s="1"/>
  <c r="L59" i="6"/>
  <c r="M59" i="6" s="1"/>
  <c r="K59" i="6"/>
  <c r="J59" i="6"/>
  <c r="I59" i="6"/>
  <c r="K58" i="6"/>
  <c r="L58" i="6" s="1"/>
  <c r="M58" i="6" s="1"/>
  <c r="I58" i="6"/>
  <c r="J58" i="6" s="1"/>
  <c r="L57" i="6"/>
  <c r="M57" i="6" s="1"/>
  <c r="K57" i="6"/>
  <c r="I57" i="6"/>
  <c r="J57" i="6" s="1"/>
  <c r="K56" i="6"/>
  <c r="L56" i="6" s="1"/>
  <c r="M56" i="6" s="1"/>
  <c r="I56" i="6"/>
  <c r="J56" i="6" s="1"/>
  <c r="K55" i="6"/>
  <c r="L55" i="6" s="1"/>
  <c r="M55" i="6" s="1"/>
  <c r="J55" i="6"/>
  <c r="I55" i="6"/>
  <c r="L54" i="6"/>
  <c r="M54" i="6" s="1"/>
  <c r="K54" i="6"/>
  <c r="I54" i="6"/>
  <c r="J54" i="6" s="1"/>
  <c r="L53" i="6"/>
  <c r="M53" i="6" s="1"/>
  <c r="K53" i="6"/>
  <c r="I53" i="6"/>
  <c r="J53" i="6" s="1"/>
  <c r="M52" i="6"/>
  <c r="L52" i="6"/>
  <c r="K52" i="6"/>
  <c r="I52" i="6"/>
  <c r="J52" i="6" s="1"/>
  <c r="L51" i="6"/>
  <c r="M51" i="6" s="1"/>
  <c r="K51" i="6"/>
  <c r="I51" i="6"/>
  <c r="J51" i="6" s="1"/>
  <c r="K50" i="6"/>
  <c r="L50" i="6" s="1"/>
  <c r="M50" i="6" s="1"/>
  <c r="I50" i="6"/>
  <c r="J50" i="6" s="1"/>
  <c r="K49" i="6"/>
  <c r="L49" i="6" s="1"/>
  <c r="M49" i="6" s="1"/>
  <c r="I49" i="6"/>
  <c r="J49" i="6" s="1"/>
  <c r="K48" i="6"/>
  <c r="L48" i="6" s="1"/>
  <c r="M48" i="6" s="1"/>
  <c r="I48" i="6"/>
  <c r="J48" i="6" s="1"/>
  <c r="K47" i="6"/>
  <c r="L47" i="6" s="1"/>
  <c r="M47" i="6" s="1"/>
  <c r="J47" i="6"/>
  <c r="I47" i="6"/>
  <c r="K46" i="6"/>
  <c r="L46" i="6" s="1"/>
  <c r="M46" i="6" s="1"/>
  <c r="I46" i="6"/>
  <c r="J46" i="6" s="1"/>
  <c r="L45" i="6"/>
  <c r="M45" i="6" s="1"/>
  <c r="K45" i="6"/>
  <c r="I45" i="6"/>
  <c r="J45" i="6" s="1"/>
  <c r="M44" i="6"/>
  <c r="L44" i="6"/>
  <c r="K44" i="6"/>
  <c r="I44" i="6"/>
  <c r="J44" i="6" s="1"/>
  <c r="L43" i="6"/>
  <c r="M43" i="6" s="1"/>
  <c r="K43" i="6"/>
  <c r="J43" i="6"/>
  <c r="I43" i="6"/>
  <c r="K42" i="6"/>
  <c r="L42" i="6" s="1"/>
  <c r="M42" i="6" s="1"/>
  <c r="I42" i="6"/>
  <c r="J42" i="6" s="1"/>
  <c r="L41" i="6"/>
  <c r="M41" i="6" s="1"/>
  <c r="K41" i="6"/>
  <c r="I41" i="6"/>
  <c r="J41" i="6" s="1"/>
  <c r="K40" i="6"/>
  <c r="L40" i="6" s="1"/>
  <c r="M40" i="6" s="1"/>
  <c r="I40" i="6"/>
  <c r="J40" i="6" s="1"/>
  <c r="K39" i="6"/>
  <c r="L39" i="6" s="1"/>
  <c r="M39" i="6" s="1"/>
  <c r="J39" i="6"/>
  <c r="I39" i="6"/>
  <c r="L38" i="6"/>
  <c r="M38" i="6" s="1"/>
  <c r="K38" i="6"/>
  <c r="I38" i="6"/>
  <c r="J38" i="6" s="1"/>
  <c r="L37" i="6"/>
  <c r="M37" i="6" s="1"/>
  <c r="K37" i="6"/>
  <c r="I37" i="6"/>
  <c r="J37" i="6" s="1"/>
  <c r="M36" i="6"/>
  <c r="L36" i="6"/>
  <c r="K36" i="6"/>
  <c r="I36" i="6"/>
  <c r="J36" i="6" s="1"/>
  <c r="L35" i="6"/>
  <c r="M35" i="6" s="1"/>
  <c r="K35" i="6"/>
  <c r="I35" i="6"/>
  <c r="J35" i="6" s="1"/>
  <c r="L34" i="6"/>
  <c r="M34" i="6" s="1"/>
  <c r="K34" i="6"/>
  <c r="I34" i="6"/>
  <c r="J34" i="6" s="1"/>
  <c r="K33" i="6"/>
  <c r="L33" i="6" s="1"/>
  <c r="M33" i="6" s="1"/>
  <c r="I33" i="6"/>
  <c r="J33" i="6" s="1"/>
  <c r="K32" i="6"/>
  <c r="L32" i="6" s="1"/>
  <c r="M32" i="6" s="1"/>
  <c r="I32" i="6"/>
  <c r="J32" i="6" s="1"/>
  <c r="K31" i="6"/>
  <c r="L31" i="6" s="1"/>
  <c r="M31" i="6" s="1"/>
  <c r="J31" i="6"/>
  <c r="I31" i="6"/>
  <c r="K30" i="6"/>
  <c r="L30" i="6" s="1"/>
  <c r="M30" i="6" s="1"/>
  <c r="I30" i="6"/>
  <c r="J30" i="6" s="1"/>
  <c r="L29" i="6"/>
  <c r="M29" i="6" s="1"/>
  <c r="K29" i="6"/>
  <c r="I29" i="6"/>
  <c r="J29" i="6" s="1"/>
  <c r="M28" i="6"/>
  <c r="L28" i="6"/>
  <c r="K28" i="6"/>
  <c r="I28" i="6"/>
  <c r="J28" i="6" s="1"/>
  <c r="L27" i="6"/>
  <c r="M27" i="6" s="1"/>
  <c r="K27" i="6"/>
  <c r="J27" i="6"/>
  <c r="I27" i="6"/>
  <c r="K26" i="6"/>
  <c r="L26" i="6" s="1"/>
  <c r="M26" i="6" s="1"/>
  <c r="I26" i="6"/>
  <c r="J26" i="6" s="1"/>
  <c r="L25" i="6"/>
  <c r="M25" i="6" s="1"/>
  <c r="K25" i="6"/>
  <c r="I25" i="6"/>
  <c r="J25" i="6" s="1"/>
  <c r="K24" i="6"/>
  <c r="L24" i="6" s="1"/>
  <c r="M24" i="6" s="1"/>
  <c r="I24" i="6"/>
  <c r="J24" i="6" s="1"/>
  <c r="K23" i="6"/>
  <c r="L23" i="6" s="1"/>
  <c r="M23" i="6" s="1"/>
  <c r="J23" i="6"/>
  <c r="I23" i="6"/>
  <c r="M22" i="6"/>
  <c r="L22" i="6"/>
  <c r="K22" i="6"/>
  <c r="I22" i="6"/>
  <c r="J22" i="6" s="1"/>
  <c r="L21" i="6"/>
  <c r="M21" i="6" s="1"/>
  <c r="K21" i="6"/>
  <c r="J21" i="6"/>
  <c r="I21" i="6"/>
  <c r="K20" i="6"/>
  <c r="L20" i="6" s="1"/>
  <c r="M20" i="6" s="1"/>
  <c r="I20" i="6"/>
  <c r="J20" i="6" s="1"/>
  <c r="K19" i="6"/>
  <c r="L19" i="6" s="1"/>
  <c r="M19" i="6" s="1"/>
  <c r="J19" i="6"/>
  <c r="I19" i="6"/>
  <c r="K18" i="6"/>
  <c r="L18" i="6" s="1"/>
  <c r="M18" i="6" s="1"/>
  <c r="I18" i="6"/>
  <c r="J18" i="6" s="1"/>
  <c r="L17" i="6"/>
  <c r="M17" i="6" s="1"/>
  <c r="K17" i="6"/>
  <c r="J17" i="6"/>
  <c r="I17" i="6"/>
  <c r="K16" i="6"/>
  <c r="L16" i="6" s="1"/>
  <c r="M16" i="6" s="1"/>
  <c r="I16" i="6"/>
  <c r="J16" i="6" s="1"/>
  <c r="A16" i="6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K15" i="6"/>
  <c r="L15" i="6" s="1"/>
  <c r="M15" i="6" s="1"/>
  <c r="J15" i="6"/>
  <c r="I15" i="6"/>
  <c r="A15" i="6"/>
  <c r="D2" i="6" s="1"/>
  <c r="K14" i="6"/>
  <c r="L14" i="6" s="1"/>
  <c r="M14" i="6" s="1"/>
  <c r="I14" i="6"/>
  <c r="J14" i="6" s="1"/>
  <c r="D5" i="6"/>
  <c r="D4" i="6"/>
  <c r="D3" i="6"/>
  <c r="F2" i="6"/>
  <c r="N163" i="6" s="1"/>
  <c r="CM3" i="4"/>
  <c r="CN3" i="4"/>
  <c r="CO3" i="4"/>
  <c r="CP3" i="4"/>
  <c r="CQ3" i="4"/>
  <c r="CM4" i="4"/>
  <c r="CN4" i="4"/>
  <c r="CO4" i="4"/>
  <c r="CP4" i="4"/>
  <c r="CM5" i="4"/>
  <c r="CN5" i="4"/>
  <c r="CO5" i="4"/>
  <c r="CP5" i="4"/>
  <c r="CM6" i="4"/>
  <c r="CN6" i="4"/>
  <c r="CO6" i="4"/>
  <c r="CP6" i="4"/>
  <c r="CM7" i="4"/>
  <c r="CN7" i="4"/>
  <c r="CO7" i="4"/>
  <c r="CP7" i="4"/>
  <c r="CM8" i="4"/>
  <c r="CN8" i="4"/>
  <c r="CO8" i="4"/>
  <c r="CP8" i="4"/>
  <c r="CM9" i="4"/>
  <c r="CN9" i="4"/>
  <c r="CO9" i="4"/>
  <c r="CP9" i="4"/>
  <c r="CM10" i="4"/>
  <c r="CN10" i="4"/>
  <c r="CO10" i="4"/>
  <c r="CP10" i="4"/>
  <c r="CM11" i="4"/>
  <c r="CN11" i="4"/>
  <c r="CO11" i="4"/>
  <c r="CP11" i="4"/>
  <c r="CM12" i="4"/>
  <c r="CN12" i="4"/>
  <c r="CO12" i="4"/>
  <c r="CP12" i="4"/>
  <c r="CM13" i="4"/>
  <c r="CN13" i="4"/>
  <c r="CO13" i="4"/>
  <c r="CP13" i="4"/>
  <c r="CQ13" i="4"/>
  <c r="CM14" i="4"/>
  <c r="CN14" i="4"/>
  <c r="CO14" i="4"/>
  <c r="CP14" i="4"/>
  <c r="CM15" i="4"/>
  <c r="CN15" i="4"/>
  <c r="CO15" i="4"/>
  <c r="CP15" i="4"/>
  <c r="CQ15" i="4"/>
  <c r="CM16" i="4"/>
  <c r="CN16" i="4"/>
  <c r="CO16" i="4"/>
  <c r="CP16" i="4"/>
  <c r="CM17" i="4"/>
  <c r="CN17" i="4"/>
  <c r="CO17" i="4"/>
  <c r="CP17" i="4"/>
  <c r="CM18" i="4"/>
  <c r="CN18" i="4"/>
  <c r="CO18" i="4"/>
  <c r="CP18" i="4"/>
  <c r="CM19" i="4"/>
  <c r="CN19" i="4"/>
  <c r="CO19" i="4"/>
  <c r="CP19" i="4"/>
  <c r="CM20" i="4"/>
  <c r="CN20" i="4"/>
  <c r="CO20" i="4"/>
  <c r="CP20" i="4"/>
  <c r="CM21" i="4"/>
  <c r="CN21" i="4"/>
  <c r="CO21" i="4"/>
  <c r="CP21" i="4"/>
  <c r="CM22" i="4"/>
  <c r="CN22" i="4"/>
  <c r="CO22" i="4"/>
  <c r="CP22" i="4"/>
  <c r="CM23" i="4"/>
  <c r="CN23" i="4"/>
  <c r="CO23" i="4"/>
  <c r="CP23" i="4"/>
  <c r="CM24" i="4"/>
  <c r="CN24" i="4"/>
  <c r="CO24" i="4"/>
  <c r="CP24" i="4"/>
  <c r="CP2" i="4"/>
  <c r="CO2" i="4"/>
  <c r="CN2" i="4"/>
  <c r="CM2" i="4"/>
  <c r="CZ158" i="1"/>
  <c r="DC158" i="1" s="1"/>
  <c r="CZ10" i="1"/>
  <c r="CZ26" i="1"/>
  <c r="DC26" i="1" s="1"/>
  <c r="CV81" i="1"/>
  <c r="CU182" i="1"/>
  <c r="CX182" i="1" s="1"/>
  <c r="CU174" i="1"/>
  <c r="CX174" i="1" s="1"/>
  <c r="CU183" i="1"/>
  <c r="CX183" i="1" s="1"/>
  <c r="CU190" i="1"/>
  <c r="CX190" i="1" s="1"/>
  <c r="CU191" i="1"/>
  <c r="CX191" i="1" s="1"/>
  <c r="CU158" i="1"/>
  <c r="CX158" i="1" s="1"/>
  <c r="CU123" i="1"/>
  <c r="CX123" i="1" s="1"/>
  <c r="CU101" i="1"/>
  <c r="CX101" i="1" s="1"/>
  <c r="CU53" i="1"/>
  <c r="CX53" i="1" s="1"/>
  <c r="CU25" i="1"/>
  <c r="CX25" i="1" s="1"/>
  <c r="CU19" i="1"/>
  <c r="CX19" i="1" s="1"/>
  <c r="CU180" i="1"/>
  <c r="CX180" i="1" s="1"/>
  <c r="CU156" i="1"/>
  <c r="CX156" i="1" s="1"/>
  <c r="CU154" i="1"/>
  <c r="CX154" i="1" s="1"/>
  <c r="CU134" i="1"/>
  <c r="CX134" i="1" s="1"/>
  <c r="CU119" i="1"/>
  <c r="CX119" i="1" s="1"/>
  <c r="CU120" i="1"/>
  <c r="CX120" i="1" s="1"/>
  <c r="CU109" i="1"/>
  <c r="CX109" i="1" s="1"/>
  <c r="CU99" i="1"/>
  <c r="CX99" i="1" s="1"/>
  <c r="CU100" i="1"/>
  <c r="CX100" i="1" s="1"/>
  <c r="CU138" i="1"/>
  <c r="CX138" i="1" s="1"/>
  <c r="CU125" i="1"/>
  <c r="CX125" i="1" s="1"/>
  <c r="CU126" i="1"/>
  <c r="CX126" i="1" s="1"/>
  <c r="CU105" i="1"/>
  <c r="CX105" i="1" s="1"/>
  <c r="CU84" i="1"/>
  <c r="CX84" i="1" s="1"/>
  <c r="CU72" i="1"/>
  <c r="CX72" i="1" s="1"/>
  <c r="CU160" i="1"/>
  <c r="CX160" i="1" s="1"/>
  <c r="CU9" i="1"/>
  <c r="CU4" i="1"/>
  <c r="CX4" i="1" s="1"/>
  <c r="CU177" i="1"/>
  <c r="CX177" i="1" s="1"/>
  <c r="CU164" i="1"/>
  <c r="CX164" i="1" s="1"/>
  <c r="CU150" i="1"/>
  <c r="CX150" i="1" s="1"/>
  <c r="CU91" i="1"/>
  <c r="CX91" i="1" s="1"/>
  <c r="CU67" i="1"/>
  <c r="CX67" i="1" s="1"/>
  <c r="CU68" i="1"/>
  <c r="CX68" i="1" s="1"/>
  <c r="CU27" i="1"/>
  <c r="CX27" i="1" s="1"/>
  <c r="CU59" i="1"/>
  <c r="CX59" i="1" s="1"/>
  <c r="CU50" i="1"/>
  <c r="CX50" i="1" s="1"/>
  <c r="CU38" i="1"/>
  <c r="CX38" i="1" s="1"/>
  <c r="CU44" i="1"/>
  <c r="CX44" i="1" s="1"/>
  <c r="CU40" i="1"/>
  <c r="CX40" i="1" s="1"/>
  <c r="CU10" i="1"/>
  <c r="CX10" i="1" s="1"/>
  <c r="CU55" i="1"/>
  <c r="CX55" i="1" s="1"/>
  <c r="CU157" i="1"/>
  <c r="CX157" i="1" s="1"/>
  <c r="CU26" i="1"/>
  <c r="CX26" i="1" s="1"/>
  <c r="CU12" i="1"/>
  <c r="CU56" i="1"/>
  <c r="CX56" i="1" s="1"/>
  <c r="CU17" i="1"/>
  <c r="CT174" i="1"/>
  <c r="CT175" i="1"/>
  <c r="CT170" i="1"/>
  <c r="CT155" i="1"/>
  <c r="CT188" i="1"/>
  <c r="CT176" i="1"/>
  <c r="CT165" i="1"/>
  <c r="CT101" i="1"/>
  <c r="CT94" i="1"/>
  <c r="CT127" i="1"/>
  <c r="CT13" i="1"/>
  <c r="CT64" i="1"/>
  <c r="CT35" i="1"/>
  <c r="CT30" i="1"/>
  <c r="CV30" i="1" s="1"/>
  <c r="CT77" i="1"/>
  <c r="CT78" i="1"/>
  <c r="CT65" i="1"/>
  <c r="CT62" i="1"/>
  <c r="CT36" i="1"/>
  <c r="CT154" i="1"/>
  <c r="CT144" i="1"/>
  <c r="CT140" i="1"/>
  <c r="CT141" i="1"/>
  <c r="CT133" i="1"/>
  <c r="CT120" i="1"/>
  <c r="CT111" i="1"/>
  <c r="CT112" i="1"/>
  <c r="CT113" i="1"/>
  <c r="CT108" i="1"/>
  <c r="CT100" i="1"/>
  <c r="CT173" i="1"/>
  <c r="CT167" i="1"/>
  <c r="CT168" i="1"/>
  <c r="CT137" i="1"/>
  <c r="CT126" i="1"/>
  <c r="CT121" i="1"/>
  <c r="CT114" i="1"/>
  <c r="CT115" i="1"/>
  <c r="CT110" i="1"/>
  <c r="CT88" i="1"/>
  <c r="CT89" i="1"/>
  <c r="CV89" i="1" s="1"/>
  <c r="CT84" i="1"/>
  <c r="CV84" i="1" s="1"/>
  <c r="CT72" i="1"/>
  <c r="CT60" i="1"/>
  <c r="CT57" i="1"/>
  <c r="CT49" i="1"/>
  <c r="CT48" i="1"/>
  <c r="CT37" i="1"/>
  <c r="CT5" i="1"/>
  <c r="CT7" i="1"/>
  <c r="CT179" i="1"/>
  <c r="CT73" i="1"/>
  <c r="CT150" i="1"/>
  <c r="CT151" i="1"/>
  <c r="CT146" i="1"/>
  <c r="CT147" i="1"/>
  <c r="CT103" i="1"/>
  <c r="CT80" i="1"/>
  <c r="CT66" i="1"/>
  <c r="CV66" i="1" s="1"/>
  <c r="CT67" i="1"/>
  <c r="CV67" i="1" s="1"/>
  <c r="CT68" i="1"/>
  <c r="CT63" i="1"/>
  <c r="CT148" i="1"/>
  <c r="CT70" i="1"/>
  <c r="CT58" i="1"/>
  <c r="CT43" i="1"/>
  <c r="CT86" i="1"/>
  <c r="CT81" i="1"/>
  <c r="CT59" i="1"/>
  <c r="CV59" i="1" s="1"/>
  <c r="CT50" i="1"/>
  <c r="CT46" i="1"/>
  <c r="CT171" i="1"/>
  <c r="CT143" i="1"/>
  <c r="CT74" i="1"/>
  <c r="CT54" i="1"/>
  <c r="CT44" i="1"/>
  <c r="CV44" i="1" s="1"/>
  <c r="CT40" i="1"/>
  <c r="CT41" i="1"/>
  <c r="CT20" i="1"/>
  <c r="CT79" i="1"/>
  <c r="CT69" i="1"/>
  <c r="CV69" i="1" s="1"/>
  <c r="CT55" i="1"/>
  <c r="CV55" i="1" s="1"/>
  <c r="CT157" i="1"/>
  <c r="CT75" i="1"/>
  <c r="CT34" i="1"/>
  <c r="CT31" i="1"/>
  <c r="CT32" i="1"/>
  <c r="CT29" i="1"/>
  <c r="CT56" i="1"/>
  <c r="CT152" i="1"/>
  <c r="CT61" i="1"/>
  <c r="CT52" i="1"/>
  <c r="CT47" i="1"/>
  <c r="CT71" i="1"/>
  <c r="CS192" i="1"/>
  <c r="CS189" i="1"/>
  <c r="CS181" i="1"/>
  <c r="CS182" i="1"/>
  <c r="CS174" i="1"/>
  <c r="CS175" i="1"/>
  <c r="CS170" i="1"/>
  <c r="CS155" i="1"/>
  <c r="CS187" i="1"/>
  <c r="CS185" i="1"/>
  <c r="CS183" i="1"/>
  <c r="CS149" i="1"/>
  <c r="CS131" i="1"/>
  <c r="CS132" i="1"/>
  <c r="CS2" i="1"/>
  <c r="CS190" i="1"/>
  <c r="CS191" i="1"/>
  <c r="CS188" i="1"/>
  <c r="CS186" i="1"/>
  <c r="CS176" i="1"/>
  <c r="CS172" i="1"/>
  <c r="CS165" i="1"/>
  <c r="CS158" i="1"/>
  <c r="CS106" i="1"/>
  <c r="CS87" i="1"/>
  <c r="CS159" i="1"/>
  <c r="CS153" i="1"/>
  <c r="CS123" i="1"/>
  <c r="CS101" i="1"/>
  <c r="CS94" i="1"/>
  <c r="CS127" i="1"/>
  <c r="CS13" i="1"/>
  <c r="CS3" i="1"/>
  <c r="CS64" i="1"/>
  <c r="CS53" i="1"/>
  <c r="CS51" i="1"/>
  <c r="CS76" i="1"/>
  <c r="CS35" i="1"/>
  <c r="CS30" i="1"/>
  <c r="CS25" i="1"/>
  <c r="CS19" i="1"/>
  <c r="CS77" i="1"/>
  <c r="CS78" i="1"/>
  <c r="CS65" i="1"/>
  <c r="CS62" i="1"/>
  <c r="CS36" i="1"/>
  <c r="CS180" i="1"/>
  <c r="CS178" i="1"/>
  <c r="CS166" i="1"/>
  <c r="CS161" i="1"/>
  <c r="CS162" i="1"/>
  <c r="CS156" i="1"/>
  <c r="CS154" i="1"/>
  <c r="CS144" i="1"/>
  <c r="CS140" i="1"/>
  <c r="CS141" i="1"/>
  <c r="CS142" i="1"/>
  <c r="CS133" i="1"/>
  <c r="CS134" i="1"/>
  <c r="CS135" i="1"/>
  <c r="CS124" i="1"/>
  <c r="CS117" i="1"/>
  <c r="CS118" i="1"/>
  <c r="CS119" i="1"/>
  <c r="CS120" i="1"/>
  <c r="CS111" i="1"/>
  <c r="CS112" i="1"/>
  <c r="CS113" i="1"/>
  <c r="CS107" i="1"/>
  <c r="CS108" i="1"/>
  <c r="CS109" i="1"/>
  <c r="CS95" i="1"/>
  <c r="CS96" i="1"/>
  <c r="CS97" i="1"/>
  <c r="CS98" i="1"/>
  <c r="CS99" i="1"/>
  <c r="CS100" i="1"/>
  <c r="CS173" i="1"/>
  <c r="CS167" i="1"/>
  <c r="CS168" i="1"/>
  <c r="CS136" i="1"/>
  <c r="CS137" i="1"/>
  <c r="CS138" i="1"/>
  <c r="CS139" i="1"/>
  <c r="CS128" i="1"/>
  <c r="CS129" i="1"/>
  <c r="CS130" i="1"/>
  <c r="CS125" i="1"/>
  <c r="CS126" i="1"/>
  <c r="CS121" i="1"/>
  <c r="CS114" i="1"/>
  <c r="CS115" i="1"/>
  <c r="CS116" i="1"/>
  <c r="CS110" i="1"/>
  <c r="CS105" i="1"/>
  <c r="CS102" i="1"/>
  <c r="CS90" i="1"/>
  <c r="CS88" i="1"/>
  <c r="CS89" i="1"/>
  <c r="CS84" i="1"/>
  <c r="CS72" i="1"/>
  <c r="CS60" i="1"/>
  <c r="CS57" i="1"/>
  <c r="CS49" i="1"/>
  <c r="CS48" i="1"/>
  <c r="CS184" i="1"/>
  <c r="CS160" i="1"/>
  <c r="CS45" i="1"/>
  <c r="CS42" i="1"/>
  <c r="CS37" i="1"/>
  <c r="CS14" i="1"/>
  <c r="CS9" i="1"/>
  <c r="CS4" i="1"/>
  <c r="CS5" i="1"/>
  <c r="CS6" i="1"/>
  <c r="CS7" i="1"/>
  <c r="CS8" i="1"/>
  <c r="CS179" i="1"/>
  <c r="CS177" i="1"/>
  <c r="CS145" i="1"/>
  <c r="CS85" i="1"/>
  <c r="CS73" i="1"/>
  <c r="CS163" i="1"/>
  <c r="CS164" i="1"/>
  <c r="CS150" i="1"/>
  <c r="CS151" i="1"/>
  <c r="CS146" i="1"/>
  <c r="CS147" i="1"/>
  <c r="CS122" i="1"/>
  <c r="CS103" i="1"/>
  <c r="CS91" i="1"/>
  <c r="CS92" i="1"/>
  <c r="CS82" i="1"/>
  <c r="CS80" i="1"/>
  <c r="CS66" i="1"/>
  <c r="CS67" i="1"/>
  <c r="CS68" i="1"/>
  <c r="CS63" i="1"/>
  <c r="CS148" i="1"/>
  <c r="CS70" i="1"/>
  <c r="CS58" i="1"/>
  <c r="CS43" i="1"/>
  <c r="CS27" i="1"/>
  <c r="CS83" i="1"/>
  <c r="CS169" i="1"/>
  <c r="CS86" i="1"/>
  <c r="CS81" i="1"/>
  <c r="CS59" i="1"/>
  <c r="CS50" i="1"/>
  <c r="CS46" i="1"/>
  <c r="CS171" i="1"/>
  <c r="CS143" i="1"/>
  <c r="CS74" i="1"/>
  <c r="CS54" i="1"/>
  <c r="CS38" i="1"/>
  <c r="CS39" i="1"/>
  <c r="CS33" i="1"/>
  <c r="CS23" i="1"/>
  <c r="CS24" i="1"/>
  <c r="CS44" i="1"/>
  <c r="CS40" i="1"/>
  <c r="CS41" i="1"/>
  <c r="CS28" i="1"/>
  <c r="CS20" i="1"/>
  <c r="CS15" i="1"/>
  <c r="CS16" i="1"/>
  <c r="CS10" i="1"/>
  <c r="CS104" i="1"/>
  <c r="CS93" i="1"/>
  <c r="CS79" i="1"/>
  <c r="CS69" i="1"/>
  <c r="CS55" i="1"/>
  <c r="CS157" i="1"/>
  <c r="CS75" i="1"/>
  <c r="CS34" i="1"/>
  <c r="CS31" i="1"/>
  <c r="CS32" i="1"/>
  <c r="CS29" i="1"/>
  <c r="CS26" i="1"/>
  <c r="CS21" i="1"/>
  <c r="CS22" i="1"/>
  <c r="CS18" i="1"/>
  <c r="CS11" i="1"/>
  <c r="CS12" i="1"/>
  <c r="CS56" i="1"/>
  <c r="CS152" i="1"/>
  <c r="CS61" i="1"/>
  <c r="CS52" i="1"/>
  <c r="CS47" i="1"/>
  <c r="CS71" i="1"/>
  <c r="CS17" i="1"/>
  <c r="CR192" i="1"/>
  <c r="CR189" i="1"/>
  <c r="CR181" i="1"/>
  <c r="CR182" i="1"/>
  <c r="CR174" i="1"/>
  <c r="CR175" i="1"/>
  <c r="CR170" i="1"/>
  <c r="CR155" i="1"/>
  <c r="CR187" i="1"/>
  <c r="CR185" i="1"/>
  <c r="CR183" i="1"/>
  <c r="CR149" i="1"/>
  <c r="CR131" i="1"/>
  <c r="CR132" i="1"/>
  <c r="CR2" i="1"/>
  <c r="CR190" i="1"/>
  <c r="CR191" i="1"/>
  <c r="CR188" i="1"/>
  <c r="CR186" i="1"/>
  <c r="CR176" i="1"/>
  <c r="CR172" i="1"/>
  <c r="CR165" i="1"/>
  <c r="CR158" i="1"/>
  <c r="CR106" i="1"/>
  <c r="CR87" i="1"/>
  <c r="CR159" i="1"/>
  <c r="CR153" i="1"/>
  <c r="CR123" i="1"/>
  <c r="CR101" i="1"/>
  <c r="CR94" i="1"/>
  <c r="CR127" i="1"/>
  <c r="CR13" i="1"/>
  <c r="CR3" i="1"/>
  <c r="CR64" i="1"/>
  <c r="CR53" i="1"/>
  <c r="CR51" i="1"/>
  <c r="CR76" i="1"/>
  <c r="CR35" i="1"/>
  <c r="CR30" i="1"/>
  <c r="CR25" i="1"/>
  <c r="CR19" i="1"/>
  <c r="CR77" i="1"/>
  <c r="CR78" i="1"/>
  <c r="CR65" i="1"/>
  <c r="CR62" i="1"/>
  <c r="CR36" i="1"/>
  <c r="CR180" i="1"/>
  <c r="CR178" i="1"/>
  <c r="CR166" i="1"/>
  <c r="CR161" i="1"/>
  <c r="CR162" i="1"/>
  <c r="CR156" i="1"/>
  <c r="CR154" i="1"/>
  <c r="CR144" i="1"/>
  <c r="CR140" i="1"/>
  <c r="CR141" i="1"/>
  <c r="CR142" i="1"/>
  <c r="CR133" i="1"/>
  <c r="CR134" i="1"/>
  <c r="CR135" i="1"/>
  <c r="CR124" i="1"/>
  <c r="CR117" i="1"/>
  <c r="CR118" i="1"/>
  <c r="CR119" i="1"/>
  <c r="CR120" i="1"/>
  <c r="CR111" i="1"/>
  <c r="CR112" i="1"/>
  <c r="CR113" i="1"/>
  <c r="CR107" i="1"/>
  <c r="CR108" i="1"/>
  <c r="CR109" i="1"/>
  <c r="CR95" i="1"/>
  <c r="CR96" i="1"/>
  <c r="CR97" i="1"/>
  <c r="CR98" i="1"/>
  <c r="CR99" i="1"/>
  <c r="CR100" i="1"/>
  <c r="CR173" i="1"/>
  <c r="CR167" i="1"/>
  <c r="CR168" i="1"/>
  <c r="CR136" i="1"/>
  <c r="CR137" i="1"/>
  <c r="CR138" i="1"/>
  <c r="CR139" i="1"/>
  <c r="CR128" i="1"/>
  <c r="CR129" i="1"/>
  <c r="CR130" i="1"/>
  <c r="CR125" i="1"/>
  <c r="CR126" i="1"/>
  <c r="CR121" i="1"/>
  <c r="CR114" i="1"/>
  <c r="CR115" i="1"/>
  <c r="CR116" i="1"/>
  <c r="CR110" i="1"/>
  <c r="CR105" i="1"/>
  <c r="CR102" i="1"/>
  <c r="CR90" i="1"/>
  <c r="CR88" i="1"/>
  <c r="CR89" i="1"/>
  <c r="CR84" i="1"/>
  <c r="CR72" i="1"/>
  <c r="CR60" i="1"/>
  <c r="CR57" i="1"/>
  <c r="CR49" i="1"/>
  <c r="CR48" i="1"/>
  <c r="CR184" i="1"/>
  <c r="CR160" i="1"/>
  <c r="CR45" i="1"/>
  <c r="CR42" i="1"/>
  <c r="CR37" i="1"/>
  <c r="CR14" i="1"/>
  <c r="CR9" i="1"/>
  <c r="CR4" i="1"/>
  <c r="CR5" i="1"/>
  <c r="CR6" i="1"/>
  <c r="CR7" i="1"/>
  <c r="CR8" i="1"/>
  <c r="CR179" i="1"/>
  <c r="CR177" i="1"/>
  <c r="CR145" i="1"/>
  <c r="CR85" i="1"/>
  <c r="CR73" i="1"/>
  <c r="CR163" i="1"/>
  <c r="CR164" i="1"/>
  <c r="CR150" i="1"/>
  <c r="CR151" i="1"/>
  <c r="CR146" i="1"/>
  <c r="CR147" i="1"/>
  <c r="CR122" i="1"/>
  <c r="CR103" i="1"/>
  <c r="CR91" i="1"/>
  <c r="CR92" i="1"/>
  <c r="CR82" i="1"/>
  <c r="CR80" i="1"/>
  <c r="CR66" i="1"/>
  <c r="CR67" i="1"/>
  <c r="CR68" i="1"/>
  <c r="CR63" i="1"/>
  <c r="CR148" i="1"/>
  <c r="CR70" i="1"/>
  <c r="CR58" i="1"/>
  <c r="CR43" i="1"/>
  <c r="CR27" i="1"/>
  <c r="CR83" i="1"/>
  <c r="CR169" i="1"/>
  <c r="CR86" i="1"/>
  <c r="CR81" i="1"/>
  <c r="CR59" i="1"/>
  <c r="CR50" i="1"/>
  <c r="CR46" i="1"/>
  <c r="CR171" i="1"/>
  <c r="CR143" i="1"/>
  <c r="CR74" i="1"/>
  <c r="CR54" i="1"/>
  <c r="CR38" i="1"/>
  <c r="CR39" i="1"/>
  <c r="CR33" i="1"/>
  <c r="CR23" i="1"/>
  <c r="CR24" i="1"/>
  <c r="CR44" i="1"/>
  <c r="CR40" i="1"/>
  <c r="CR41" i="1"/>
  <c r="CR28" i="1"/>
  <c r="CR20" i="1"/>
  <c r="CR15" i="1"/>
  <c r="CR16" i="1"/>
  <c r="CR10" i="1"/>
  <c r="CR104" i="1"/>
  <c r="CR93" i="1"/>
  <c r="CR79" i="1"/>
  <c r="CR69" i="1"/>
  <c r="CR55" i="1"/>
  <c r="CR157" i="1"/>
  <c r="CR75" i="1"/>
  <c r="CR34" i="1"/>
  <c r="CR31" i="1"/>
  <c r="CR32" i="1"/>
  <c r="CR29" i="1"/>
  <c r="CR26" i="1"/>
  <c r="CR21" i="1"/>
  <c r="CR22" i="1"/>
  <c r="CR18" i="1"/>
  <c r="CR11" i="1"/>
  <c r="CR12" i="1"/>
  <c r="CR56" i="1"/>
  <c r="CR152" i="1"/>
  <c r="CR61" i="1"/>
  <c r="CR52" i="1"/>
  <c r="CR47" i="1"/>
  <c r="CR71" i="1"/>
  <c r="CR17" i="1"/>
  <c r="CQ192" i="1"/>
  <c r="CQ189" i="1"/>
  <c r="CQ181" i="1"/>
  <c r="CQ182" i="1"/>
  <c r="CQ174" i="1"/>
  <c r="CQ175" i="1"/>
  <c r="CQ170" i="1"/>
  <c r="CQ155" i="1"/>
  <c r="CQ187" i="1"/>
  <c r="CQ185" i="1"/>
  <c r="CQ183" i="1"/>
  <c r="CQ149" i="1"/>
  <c r="CQ131" i="1"/>
  <c r="CQ132" i="1"/>
  <c r="CQ2" i="1"/>
  <c r="CQ190" i="1"/>
  <c r="CQ191" i="1"/>
  <c r="CQ188" i="1"/>
  <c r="CQ186" i="1"/>
  <c r="CQ176" i="1"/>
  <c r="CQ172" i="1"/>
  <c r="CQ165" i="1"/>
  <c r="CQ158" i="1"/>
  <c r="CQ106" i="1"/>
  <c r="CQ87" i="1"/>
  <c r="CQ159" i="1"/>
  <c r="CQ153" i="1"/>
  <c r="CQ123" i="1"/>
  <c r="CQ101" i="1"/>
  <c r="CQ94" i="1"/>
  <c r="CQ127" i="1"/>
  <c r="CQ13" i="1"/>
  <c r="CQ3" i="1"/>
  <c r="CQ64" i="1"/>
  <c r="CQ53" i="1"/>
  <c r="CQ51" i="1"/>
  <c r="CQ76" i="1"/>
  <c r="CQ35" i="1"/>
  <c r="CQ30" i="1"/>
  <c r="CQ25" i="1"/>
  <c r="CQ19" i="1"/>
  <c r="CQ77" i="1"/>
  <c r="CQ78" i="1"/>
  <c r="CQ65" i="1"/>
  <c r="CQ62" i="1"/>
  <c r="CQ36" i="1"/>
  <c r="CQ180" i="1"/>
  <c r="CQ178" i="1"/>
  <c r="CQ166" i="1"/>
  <c r="CQ161" i="1"/>
  <c r="CQ162" i="1"/>
  <c r="CQ156" i="1"/>
  <c r="CQ154" i="1"/>
  <c r="CQ144" i="1"/>
  <c r="CQ140" i="1"/>
  <c r="CQ141" i="1"/>
  <c r="CQ142" i="1"/>
  <c r="CQ133" i="1"/>
  <c r="CQ134" i="1"/>
  <c r="CQ135" i="1"/>
  <c r="CQ124" i="1"/>
  <c r="CQ117" i="1"/>
  <c r="CQ118" i="1"/>
  <c r="CQ119" i="1"/>
  <c r="CQ120" i="1"/>
  <c r="CQ111" i="1"/>
  <c r="CQ112" i="1"/>
  <c r="CQ113" i="1"/>
  <c r="CQ107" i="1"/>
  <c r="CQ108" i="1"/>
  <c r="CQ109" i="1"/>
  <c r="CQ95" i="1"/>
  <c r="CQ96" i="1"/>
  <c r="CQ97" i="1"/>
  <c r="CQ98" i="1"/>
  <c r="CQ99" i="1"/>
  <c r="CQ100" i="1"/>
  <c r="CQ173" i="1"/>
  <c r="CQ167" i="1"/>
  <c r="CQ168" i="1"/>
  <c r="CQ136" i="1"/>
  <c r="CQ137" i="1"/>
  <c r="CQ138" i="1"/>
  <c r="CQ139" i="1"/>
  <c r="CQ128" i="1"/>
  <c r="CQ129" i="1"/>
  <c r="CQ130" i="1"/>
  <c r="CQ125" i="1"/>
  <c r="CQ126" i="1"/>
  <c r="CQ121" i="1"/>
  <c r="CQ114" i="1"/>
  <c r="CQ115" i="1"/>
  <c r="CQ116" i="1"/>
  <c r="CQ110" i="1"/>
  <c r="CQ105" i="1"/>
  <c r="CQ102" i="1"/>
  <c r="CQ90" i="1"/>
  <c r="CQ88" i="1"/>
  <c r="CQ89" i="1"/>
  <c r="CQ84" i="1"/>
  <c r="CQ72" i="1"/>
  <c r="CQ60" i="1"/>
  <c r="CQ57" i="1"/>
  <c r="CQ49" i="1"/>
  <c r="CQ48" i="1"/>
  <c r="CQ184" i="1"/>
  <c r="CQ160" i="1"/>
  <c r="CQ45" i="1"/>
  <c r="CQ42" i="1"/>
  <c r="CQ37" i="1"/>
  <c r="CQ14" i="1"/>
  <c r="CQ9" i="1"/>
  <c r="CQ4" i="1"/>
  <c r="CQ5" i="1"/>
  <c r="CQ6" i="1"/>
  <c r="CQ7" i="1"/>
  <c r="CQ8" i="1"/>
  <c r="CQ179" i="1"/>
  <c r="CQ177" i="1"/>
  <c r="CQ145" i="1"/>
  <c r="CQ85" i="1"/>
  <c r="CQ73" i="1"/>
  <c r="CQ163" i="1"/>
  <c r="CQ164" i="1"/>
  <c r="CQ150" i="1"/>
  <c r="CQ151" i="1"/>
  <c r="CQ146" i="1"/>
  <c r="CQ147" i="1"/>
  <c r="CQ122" i="1"/>
  <c r="CQ103" i="1"/>
  <c r="CQ91" i="1"/>
  <c r="CQ92" i="1"/>
  <c r="CQ82" i="1"/>
  <c r="CQ80" i="1"/>
  <c r="CQ66" i="1"/>
  <c r="CQ67" i="1"/>
  <c r="CQ68" i="1"/>
  <c r="CQ63" i="1"/>
  <c r="CQ148" i="1"/>
  <c r="CQ70" i="1"/>
  <c r="CQ58" i="1"/>
  <c r="CQ43" i="1"/>
  <c r="CQ27" i="1"/>
  <c r="CQ83" i="1"/>
  <c r="CQ169" i="1"/>
  <c r="CQ86" i="1"/>
  <c r="CQ81" i="1"/>
  <c r="CQ59" i="1"/>
  <c r="CQ50" i="1"/>
  <c r="CQ46" i="1"/>
  <c r="CQ171" i="1"/>
  <c r="CQ143" i="1"/>
  <c r="CQ74" i="1"/>
  <c r="CQ54" i="1"/>
  <c r="CQ38" i="1"/>
  <c r="CQ39" i="1"/>
  <c r="CQ33" i="1"/>
  <c r="CQ23" i="1"/>
  <c r="CQ24" i="1"/>
  <c r="CQ44" i="1"/>
  <c r="CQ40" i="1"/>
  <c r="CQ41" i="1"/>
  <c r="CQ28" i="1"/>
  <c r="CQ20" i="1"/>
  <c r="CQ15" i="1"/>
  <c r="CQ16" i="1"/>
  <c r="CQ10" i="1"/>
  <c r="CQ104" i="1"/>
  <c r="CQ93" i="1"/>
  <c r="CQ79" i="1"/>
  <c r="CQ69" i="1"/>
  <c r="CQ55" i="1"/>
  <c r="CQ157" i="1"/>
  <c r="CQ75" i="1"/>
  <c r="CQ34" i="1"/>
  <c r="CQ31" i="1"/>
  <c r="CQ32" i="1"/>
  <c r="CQ29" i="1"/>
  <c r="CQ26" i="1"/>
  <c r="CQ21" i="1"/>
  <c r="CQ22" i="1"/>
  <c r="CQ18" i="1"/>
  <c r="CQ11" i="1"/>
  <c r="CQ12" i="1"/>
  <c r="CQ56" i="1"/>
  <c r="CQ152" i="1"/>
  <c r="CQ61" i="1"/>
  <c r="CQ52" i="1"/>
  <c r="CQ47" i="1"/>
  <c r="CQ71" i="1"/>
  <c r="CQ17" i="1"/>
  <c r="CP192" i="1"/>
  <c r="CU192" i="1" s="1"/>
  <c r="CX192" i="1" s="1"/>
  <c r="CP189" i="1"/>
  <c r="CU189" i="1" s="1"/>
  <c r="CX189" i="1" s="1"/>
  <c r="CP181" i="1"/>
  <c r="CU181" i="1" s="1"/>
  <c r="CX181" i="1" s="1"/>
  <c r="CP182" i="1"/>
  <c r="CP174" i="1"/>
  <c r="CP175" i="1"/>
  <c r="CU175" i="1" s="1"/>
  <c r="CX175" i="1" s="1"/>
  <c r="CP170" i="1"/>
  <c r="CU170" i="1" s="1"/>
  <c r="CX170" i="1" s="1"/>
  <c r="CP155" i="1"/>
  <c r="CU155" i="1" s="1"/>
  <c r="CX155" i="1" s="1"/>
  <c r="CP187" i="1"/>
  <c r="CU187" i="1" s="1"/>
  <c r="CX187" i="1" s="1"/>
  <c r="CP185" i="1"/>
  <c r="CU185" i="1" s="1"/>
  <c r="CX185" i="1" s="1"/>
  <c r="CP183" i="1"/>
  <c r="CP149" i="1"/>
  <c r="CU149" i="1" s="1"/>
  <c r="CX149" i="1" s="1"/>
  <c r="CP131" i="1"/>
  <c r="CU131" i="1" s="1"/>
  <c r="CX131" i="1" s="1"/>
  <c r="CP132" i="1"/>
  <c r="CU132" i="1" s="1"/>
  <c r="CX132" i="1" s="1"/>
  <c r="CP2" i="1"/>
  <c r="CU2" i="1" s="1"/>
  <c r="CP190" i="1"/>
  <c r="CP191" i="1"/>
  <c r="CP188" i="1"/>
  <c r="CU188" i="1" s="1"/>
  <c r="CX188" i="1" s="1"/>
  <c r="CP186" i="1"/>
  <c r="CU186" i="1" s="1"/>
  <c r="CX186" i="1" s="1"/>
  <c r="CP176" i="1"/>
  <c r="CU176" i="1" s="1"/>
  <c r="CX176" i="1" s="1"/>
  <c r="CP172" i="1"/>
  <c r="CU172" i="1" s="1"/>
  <c r="CX172" i="1" s="1"/>
  <c r="CP165" i="1"/>
  <c r="CU165" i="1" s="1"/>
  <c r="CX165" i="1" s="1"/>
  <c r="CP158" i="1"/>
  <c r="CP106" i="1"/>
  <c r="CU106" i="1" s="1"/>
  <c r="CX106" i="1" s="1"/>
  <c r="CP87" i="1"/>
  <c r="CU87" i="1" s="1"/>
  <c r="CX87" i="1" s="1"/>
  <c r="CP159" i="1"/>
  <c r="CU159" i="1" s="1"/>
  <c r="CX159" i="1" s="1"/>
  <c r="CP153" i="1"/>
  <c r="CU153" i="1" s="1"/>
  <c r="CX153" i="1" s="1"/>
  <c r="CP123" i="1"/>
  <c r="CP101" i="1"/>
  <c r="CP94" i="1"/>
  <c r="CU94" i="1" s="1"/>
  <c r="CX94" i="1" s="1"/>
  <c r="CP127" i="1"/>
  <c r="CU127" i="1" s="1"/>
  <c r="CX127" i="1" s="1"/>
  <c r="CP13" i="1"/>
  <c r="CP3" i="1"/>
  <c r="CP64" i="1"/>
  <c r="CU64" i="1" s="1"/>
  <c r="CX64" i="1" s="1"/>
  <c r="CP53" i="1"/>
  <c r="CP51" i="1"/>
  <c r="CU51" i="1" s="1"/>
  <c r="CX51" i="1" s="1"/>
  <c r="CP76" i="1"/>
  <c r="CU76" i="1" s="1"/>
  <c r="CX76" i="1" s="1"/>
  <c r="CP35" i="1"/>
  <c r="CU35" i="1" s="1"/>
  <c r="CX35" i="1" s="1"/>
  <c r="CP30" i="1"/>
  <c r="CU30" i="1" s="1"/>
  <c r="CX30" i="1" s="1"/>
  <c r="CP25" i="1"/>
  <c r="CP19" i="1"/>
  <c r="CP77" i="1"/>
  <c r="CU77" i="1" s="1"/>
  <c r="CX77" i="1" s="1"/>
  <c r="CP78" i="1"/>
  <c r="CU78" i="1" s="1"/>
  <c r="CX78" i="1" s="1"/>
  <c r="CP65" i="1"/>
  <c r="CU65" i="1" s="1"/>
  <c r="CX65" i="1" s="1"/>
  <c r="CP62" i="1"/>
  <c r="CU62" i="1" s="1"/>
  <c r="CX62" i="1" s="1"/>
  <c r="CP36" i="1"/>
  <c r="CU36" i="1" s="1"/>
  <c r="CX36" i="1" s="1"/>
  <c r="CP180" i="1"/>
  <c r="CP178" i="1"/>
  <c r="CU178" i="1" s="1"/>
  <c r="CX178" i="1" s="1"/>
  <c r="CP166" i="1"/>
  <c r="CU166" i="1" s="1"/>
  <c r="CX166" i="1" s="1"/>
  <c r="CP161" i="1"/>
  <c r="CU161" i="1" s="1"/>
  <c r="CX161" i="1" s="1"/>
  <c r="CP162" i="1"/>
  <c r="CU162" i="1" s="1"/>
  <c r="CX162" i="1" s="1"/>
  <c r="CP156" i="1"/>
  <c r="CP154" i="1"/>
  <c r="CP144" i="1"/>
  <c r="CU144" i="1" s="1"/>
  <c r="CX144" i="1" s="1"/>
  <c r="CP140" i="1"/>
  <c r="CU140" i="1" s="1"/>
  <c r="CX140" i="1" s="1"/>
  <c r="CP141" i="1"/>
  <c r="CU141" i="1" s="1"/>
  <c r="CX141" i="1" s="1"/>
  <c r="CP142" i="1"/>
  <c r="CU142" i="1" s="1"/>
  <c r="CX142" i="1" s="1"/>
  <c r="CP133" i="1"/>
  <c r="CU133" i="1" s="1"/>
  <c r="CX133" i="1" s="1"/>
  <c r="CP134" i="1"/>
  <c r="CP135" i="1"/>
  <c r="CU135" i="1" s="1"/>
  <c r="CX135" i="1" s="1"/>
  <c r="CP124" i="1"/>
  <c r="CU124" i="1" s="1"/>
  <c r="CX124" i="1" s="1"/>
  <c r="CP117" i="1"/>
  <c r="CU117" i="1" s="1"/>
  <c r="CX117" i="1" s="1"/>
  <c r="CP118" i="1"/>
  <c r="CU118" i="1" s="1"/>
  <c r="CX118" i="1" s="1"/>
  <c r="CP119" i="1"/>
  <c r="CP120" i="1"/>
  <c r="CP111" i="1"/>
  <c r="CU111" i="1" s="1"/>
  <c r="CX111" i="1" s="1"/>
  <c r="CP112" i="1"/>
  <c r="CU112" i="1" s="1"/>
  <c r="CX112" i="1" s="1"/>
  <c r="CP113" i="1"/>
  <c r="CU113" i="1" s="1"/>
  <c r="CX113" i="1" s="1"/>
  <c r="CP107" i="1"/>
  <c r="CU107" i="1" s="1"/>
  <c r="CX107" i="1" s="1"/>
  <c r="CP108" i="1"/>
  <c r="CU108" i="1" s="1"/>
  <c r="CX108" i="1" s="1"/>
  <c r="CP109" i="1"/>
  <c r="CP95" i="1"/>
  <c r="CU95" i="1" s="1"/>
  <c r="CX95" i="1" s="1"/>
  <c r="CP96" i="1"/>
  <c r="CU96" i="1" s="1"/>
  <c r="CX96" i="1" s="1"/>
  <c r="CP97" i="1"/>
  <c r="CU97" i="1" s="1"/>
  <c r="CX97" i="1" s="1"/>
  <c r="CP98" i="1"/>
  <c r="CU98" i="1" s="1"/>
  <c r="CX98" i="1" s="1"/>
  <c r="CP99" i="1"/>
  <c r="CP100" i="1"/>
  <c r="CP173" i="1"/>
  <c r="CU173" i="1" s="1"/>
  <c r="CX173" i="1" s="1"/>
  <c r="CP167" i="1"/>
  <c r="CU167" i="1" s="1"/>
  <c r="CX167" i="1" s="1"/>
  <c r="CP168" i="1"/>
  <c r="CU168" i="1" s="1"/>
  <c r="CX168" i="1" s="1"/>
  <c r="CP136" i="1"/>
  <c r="CU136" i="1" s="1"/>
  <c r="CX136" i="1" s="1"/>
  <c r="CP137" i="1"/>
  <c r="CU137" i="1" s="1"/>
  <c r="CX137" i="1" s="1"/>
  <c r="CP138" i="1"/>
  <c r="CP139" i="1"/>
  <c r="CU139" i="1" s="1"/>
  <c r="CX139" i="1" s="1"/>
  <c r="CP128" i="1"/>
  <c r="CU128" i="1" s="1"/>
  <c r="CX128" i="1" s="1"/>
  <c r="CP129" i="1"/>
  <c r="CU129" i="1" s="1"/>
  <c r="CX129" i="1" s="1"/>
  <c r="CP130" i="1"/>
  <c r="CU130" i="1" s="1"/>
  <c r="CX130" i="1" s="1"/>
  <c r="CP125" i="1"/>
  <c r="CP126" i="1"/>
  <c r="CP121" i="1"/>
  <c r="CU121" i="1" s="1"/>
  <c r="CX121" i="1" s="1"/>
  <c r="CP114" i="1"/>
  <c r="CU114" i="1" s="1"/>
  <c r="CX114" i="1" s="1"/>
  <c r="CP115" i="1"/>
  <c r="CU115" i="1" s="1"/>
  <c r="CX115" i="1" s="1"/>
  <c r="CP116" i="1"/>
  <c r="CU116" i="1" s="1"/>
  <c r="CX116" i="1" s="1"/>
  <c r="CP110" i="1"/>
  <c r="CU110" i="1" s="1"/>
  <c r="CX110" i="1" s="1"/>
  <c r="CP105" i="1"/>
  <c r="CP102" i="1"/>
  <c r="CU102" i="1" s="1"/>
  <c r="CX102" i="1" s="1"/>
  <c r="CP90" i="1"/>
  <c r="CU90" i="1" s="1"/>
  <c r="CX90" i="1" s="1"/>
  <c r="CP88" i="1"/>
  <c r="CU88" i="1" s="1"/>
  <c r="CX88" i="1" s="1"/>
  <c r="CP89" i="1"/>
  <c r="CU89" i="1" s="1"/>
  <c r="CX89" i="1" s="1"/>
  <c r="CP84" i="1"/>
  <c r="CP72" i="1"/>
  <c r="CP60" i="1"/>
  <c r="CU60" i="1" s="1"/>
  <c r="CX60" i="1" s="1"/>
  <c r="CP57" i="1"/>
  <c r="CU57" i="1" s="1"/>
  <c r="CX57" i="1" s="1"/>
  <c r="CP49" i="1"/>
  <c r="CU49" i="1" s="1"/>
  <c r="CX49" i="1" s="1"/>
  <c r="CP48" i="1"/>
  <c r="CU48" i="1" s="1"/>
  <c r="CX48" i="1" s="1"/>
  <c r="CP184" i="1"/>
  <c r="CU184" i="1" s="1"/>
  <c r="CX184" i="1" s="1"/>
  <c r="CP160" i="1"/>
  <c r="CP45" i="1"/>
  <c r="CU45" i="1" s="1"/>
  <c r="CX45" i="1" s="1"/>
  <c r="CP42" i="1"/>
  <c r="CU42" i="1" s="1"/>
  <c r="CX42" i="1" s="1"/>
  <c r="CP37" i="1"/>
  <c r="CU37" i="1" s="1"/>
  <c r="CX37" i="1" s="1"/>
  <c r="CP14" i="1"/>
  <c r="CU14" i="1" s="1"/>
  <c r="CP9" i="1"/>
  <c r="CP4" i="1"/>
  <c r="CP5" i="1"/>
  <c r="CP6" i="1"/>
  <c r="CP7" i="1"/>
  <c r="CP8" i="1"/>
  <c r="CP179" i="1"/>
  <c r="CU179" i="1" s="1"/>
  <c r="CX179" i="1" s="1"/>
  <c r="CP177" i="1"/>
  <c r="CP145" i="1"/>
  <c r="CU145" i="1" s="1"/>
  <c r="CX145" i="1" s="1"/>
  <c r="CP85" i="1"/>
  <c r="CU85" i="1" s="1"/>
  <c r="CX85" i="1" s="1"/>
  <c r="CP73" i="1"/>
  <c r="CU73" i="1" s="1"/>
  <c r="CX73" i="1" s="1"/>
  <c r="CP163" i="1"/>
  <c r="CU163" i="1" s="1"/>
  <c r="CX163" i="1" s="1"/>
  <c r="CP164" i="1"/>
  <c r="CP150" i="1"/>
  <c r="CP151" i="1"/>
  <c r="CU151" i="1" s="1"/>
  <c r="CX151" i="1" s="1"/>
  <c r="CP146" i="1"/>
  <c r="CU146" i="1" s="1"/>
  <c r="CX146" i="1" s="1"/>
  <c r="CP147" i="1"/>
  <c r="CU147" i="1" s="1"/>
  <c r="CX147" i="1" s="1"/>
  <c r="CP122" i="1"/>
  <c r="CU122" i="1" s="1"/>
  <c r="CX122" i="1" s="1"/>
  <c r="CP103" i="1"/>
  <c r="CU103" i="1" s="1"/>
  <c r="CX103" i="1" s="1"/>
  <c r="CP91" i="1"/>
  <c r="CP92" i="1"/>
  <c r="CU92" i="1" s="1"/>
  <c r="CX92" i="1" s="1"/>
  <c r="CP82" i="1"/>
  <c r="CU82" i="1" s="1"/>
  <c r="CX82" i="1" s="1"/>
  <c r="CP80" i="1"/>
  <c r="CU80" i="1" s="1"/>
  <c r="CX80" i="1" s="1"/>
  <c r="CP66" i="1"/>
  <c r="CU66" i="1" s="1"/>
  <c r="CX66" i="1" s="1"/>
  <c r="CP67" i="1"/>
  <c r="CP68" i="1"/>
  <c r="CP63" i="1"/>
  <c r="CU63" i="1" s="1"/>
  <c r="CX63" i="1" s="1"/>
  <c r="CP148" i="1"/>
  <c r="CU148" i="1" s="1"/>
  <c r="CX148" i="1" s="1"/>
  <c r="CP70" i="1"/>
  <c r="CU70" i="1" s="1"/>
  <c r="CX70" i="1" s="1"/>
  <c r="CP58" i="1"/>
  <c r="CU58" i="1" s="1"/>
  <c r="CX58" i="1" s="1"/>
  <c r="CP43" i="1"/>
  <c r="CU43" i="1" s="1"/>
  <c r="CX43" i="1" s="1"/>
  <c r="CP27" i="1"/>
  <c r="CP83" i="1"/>
  <c r="CU83" i="1" s="1"/>
  <c r="CX83" i="1" s="1"/>
  <c r="CP169" i="1"/>
  <c r="CU169" i="1" s="1"/>
  <c r="CX169" i="1" s="1"/>
  <c r="CP86" i="1"/>
  <c r="CU86" i="1" s="1"/>
  <c r="CX86" i="1" s="1"/>
  <c r="CP81" i="1"/>
  <c r="CU81" i="1" s="1"/>
  <c r="CX81" i="1" s="1"/>
  <c r="CP59" i="1"/>
  <c r="CP50" i="1"/>
  <c r="CP46" i="1"/>
  <c r="CU46" i="1" s="1"/>
  <c r="CX46" i="1" s="1"/>
  <c r="CP171" i="1"/>
  <c r="CU171" i="1" s="1"/>
  <c r="CX171" i="1" s="1"/>
  <c r="CP143" i="1"/>
  <c r="CU143" i="1" s="1"/>
  <c r="CX143" i="1" s="1"/>
  <c r="CP74" i="1"/>
  <c r="CU74" i="1" s="1"/>
  <c r="CX74" i="1" s="1"/>
  <c r="CP54" i="1"/>
  <c r="CU54" i="1" s="1"/>
  <c r="CX54" i="1" s="1"/>
  <c r="CP38" i="1"/>
  <c r="CP39" i="1"/>
  <c r="CU39" i="1" s="1"/>
  <c r="CX39" i="1" s="1"/>
  <c r="CP33" i="1"/>
  <c r="CU33" i="1" s="1"/>
  <c r="CX33" i="1" s="1"/>
  <c r="CP23" i="1"/>
  <c r="CU23" i="1" s="1"/>
  <c r="CP24" i="1"/>
  <c r="CU24" i="1" s="1"/>
  <c r="CP44" i="1"/>
  <c r="CP40" i="1"/>
  <c r="CP41" i="1"/>
  <c r="CU41" i="1" s="1"/>
  <c r="CX41" i="1" s="1"/>
  <c r="CP28" i="1"/>
  <c r="CU28" i="1" s="1"/>
  <c r="CX28" i="1" s="1"/>
  <c r="CP20" i="1"/>
  <c r="CP15" i="1"/>
  <c r="CP16" i="1"/>
  <c r="CU16" i="1" s="1"/>
  <c r="CP10" i="1"/>
  <c r="CP104" i="1"/>
  <c r="CU104" i="1" s="1"/>
  <c r="CX104" i="1" s="1"/>
  <c r="CP93" i="1"/>
  <c r="CU93" i="1" s="1"/>
  <c r="CX93" i="1" s="1"/>
  <c r="CP79" i="1"/>
  <c r="CU79" i="1" s="1"/>
  <c r="CX79" i="1" s="1"/>
  <c r="CP69" i="1"/>
  <c r="CU69" i="1" s="1"/>
  <c r="CX69" i="1" s="1"/>
  <c r="CP55" i="1"/>
  <c r="CP157" i="1"/>
  <c r="CP75" i="1"/>
  <c r="CU75" i="1" s="1"/>
  <c r="CX75" i="1" s="1"/>
  <c r="CP34" i="1"/>
  <c r="CU34" i="1" s="1"/>
  <c r="CX34" i="1" s="1"/>
  <c r="CP31" i="1"/>
  <c r="CU31" i="1" s="1"/>
  <c r="CX31" i="1" s="1"/>
  <c r="CP32" i="1"/>
  <c r="CU32" i="1" s="1"/>
  <c r="CX32" i="1" s="1"/>
  <c r="CP29" i="1"/>
  <c r="CU29" i="1" s="1"/>
  <c r="CX29" i="1" s="1"/>
  <c r="CP26" i="1"/>
  <c r="CP21" i="1"/>
  <c r="CU21" i="1" s="1"/>
  <c r="CP22" i="1"/>
  <c r="CU22" i="1" s="1"/>
  <c r="CP18" i="1"/>
  <c r="CU18" i="1" s="1"/>
  <c r="CP11" i="1"/>
  <c r="CU11" i="1" s="1"/>
  <c r="CP12" i="1"/>
  <c r="CP56" i="1"/>
  <c r="CP152" i="1"/>
  <c r="CU152" i="1" s="1"/>
  <c r="CX152" i="1" s="1"/>
  <c r="CP61" i="1"/>
  <c r="CU61" i="1" s="1"/>
  <c r="CX61" i="1" s="1"/>
  <c r="CP52" i="1"/>
  <c r="CU52" i="1" s="1"/>
  <c r="CX52" i="1" s="1"/>
  <c r="CP47" i="1"/>
  <c r="CU47" i="1" s="1"/>
  <c r="CX47" i="1" s="1"/>
  <c r="CP71" i="1"/>
  <c r="CU71" i="1" s="1"/>
  <c r="CX71" i="1" s="1"/>
  <c r="CP17" i="1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26" i="2"/>
  <c r="P25" i="2"/>
  <c r="CQ4" i="4" s="1"/>
  <c r="P26" i="2"/>
  <c r="CT38" i="1" s="1"/>
  <c r="P27" i="2"/>
  <c r="CT53" i="1" s="1"/>
  <c r="P28" i="2"/>
  <c r="CT83" i="1" s="1"/>
  <c r="P29" i="2"/>
  <c r="CT109" i="1" s="1"/>
  <c r="P30" i="2"/>
  <c r="CT134" i="1" s="1"/>
  <c r="P31" i="2"/>
  <c r="CT158" i="1" s="1"/>
  <c r="P32" i="2"/>
  <c r="CT183" i="1" s="1"/>
  <c r="P33" i="2"/>
  <c r="CT186" i="1" s="1"/>
  <c r="P34" i="2"/>
  <c r="CT189" i="1" s="1"/>
  <c r="P35" i="2"/>
  <c r="CT192" i="1" s="1"/>
  <c r="P24" i="2"/>
  <c r="U12" i="2"/>
  <c r="U13" i="2"/>
  <c r="U14" i="2"/>
  <c r="U15" i="2"/>
  <c r="U11" i="2"/>
  <c r="P12" i="2"/>
  <c r="P13" i="2"/>
  <c r="P14" i="2"/>
  <c r="P15" i="2"/>
  <c r="P16" i="2"/>
  <c r="P17" i="2"/>
  <c r="P18" i="2"/>
  <c r="P19" i="2"/>
  <c r="P20" i="2"/>
  <c r="P11" i="2"/>
  <c r="P3" i="2"/>
  <c r="BX192" i="1"/>
  <c r="BX190" i="1"/>
  <c r="BX191" i="1"/>
  <c r="BX189" i="1"/>
  <c r="BX188" i="1"/>
  <c r="BX186" i="1"/>
  <c r="BX181" i="1"/>
  <c r="BX182" i="1"/>
  <c r="BX180" i="1"/>
  <c r="BX178" i="1"/>
  <c r="BX179" i="1"/>
  <c r="BX174" i="1"/>
  <c r="BX175" i="1"/>
  <c r="BX176" i="1"/>
  <c r="BX177" i="1"/>
  <c r="BX172" i="1"/>
  <c r="BX170" i="1"/>
  <c r="BX165" i="1"/>
  <c r="BX166" i="1"/>
  <c r="BX161" i="1"/>
  <c r="BX162" i="1"/>
  <c r="BX158" i="1"/>
  <c r="BX155" i="1"/>
  <c r="BX156" i="1"/>
  <c r="BX154" i="1"/>
  <c r="BX144" i="1"/>
  <c r="BX145" i="1"/>
  <c r="BX140" i="1"/>
  <c r="BX141" i="1"/>
  <c r="BX142" i="1"/>
  <c r="BX133" i="1"/>
  <c r="BX134" i="1"/>
  <c r="BX135" i="1"/>
  <c r="BX124" i="1"/>
  <c r="BX117" i="1"/>
  <c r="BX118" i="1"/>
  <c r="BX119" i="1"/>
  <c r="BX120" i="1"/>
  <c r="BX111" i="1"/>
  <c r="BX112" i="1"/>
  <c r="BX113" i="1"/>
  <c r="BX106" i="1"/>
  <c r="BX107" i="1"/>
  <c r="BX108" i="1"/>
  <c r="BX109" i="1"/>
  <c r="BX95" i="1"/>
  <c r="BX96" i="1"/>
  <c r="BX97" i="1"/>
  <c r="BX98" i="1"/>
  <c r="BX99" i="1"/>
  <c r="BX100" i="1"/>
  <c r="BX87" i="1"/>
  <c r="BX85" i="1"/>
  <c r="BX83" i="1"/>
  <c r="BX73" i="1"/>
  <c r="BX187" i="1"/>
  <c r="BX185" i="1"/>
  <c r="BX183" i="1"/>
  <c r="BX173" i="1"/>
  <c r="BX167" i="1"/>
  <c r="BX168" i="1"/>
  <c r="BX169" i="1"/>
  <c r="BX163" i="1"/>
  <c r="BX164" i="1"/>
  <c r="BX159" i="1"/>
  <c r="BX153" i="1"/>
  <c r="BX149" i="1"/>
  <c r="BX150" i="1"/>
  <c r="BX151" i="1"/>
  <c r="BX146" i="1"/>
  <c r="BX147" i="1"/>
  <c r="BX136" i="1"/>
  <c r="BX137" i="1"/>
  <c r="BX138" i="1"/>
  <c r="BX139" i="1"/>
  <c r="BX131" i="1"/>
  <c r="BX132" i="1"/>
  <c r="BX128" i="1"/>
  <c r="BX129" i="1"/>
  <c r="BX130" i="1"/>
  <c r="BX123" i="1"/>
  <c r="BX125" i="1"/>
  <c r="BX126" i="1"/>
  <c r="BX121" i="1"/>
  <c r="BX122" i="1"/>
  <c r="BX114" i="1"/>
  <c r="BX115" i="1"/>
  <c r="BX116" i="1"/>
  <c r="BX110" i="1"/>
  <c r="BX105" i="1"/>
  <c r="BX104" i="1"/>
  <c r="BX101" i="1"/>
  <c r="BX102" i="1"/>
  <c r="BX103" i="1"/>
  <c r="BX94" i="1"/>
  <c r="BX90" i="1"/>
  <c r="BX91" i="1"/>
  <c r="BX92" i="1"/>
  <c r="BX93" i="1"/>
  <c r="BX88" i="1"/>
  <c r="BX89" i="1"/>
  <c r="BX84" i="1"/>
  <c r="BX86" i="1"/>
  <c r="BX82" i="1"/>
  <c r="BX80" i="1"/>
  <c r="BX81" i="1"/>
  <c r="BX79" i="1"/>
  <c r="BX72" i="1"/>
  <c r="BX66" i="1"/>
  <c r="BX67" i="1"/>
  <c r="BX68" i="1"/>
  <c r="BX63" i="1"/>
  <c r="BX60" i="1"/>
  <c r="BX57" i="1"/>
  <c r="BX59" i="1"/>
  <c r="BX56" i="1"/>
  <c r="BX49" i="1"/>
  <c r="BX50" i="1"/>
  <c r="BX48" i="1"/>
  <c r="BX46" i="1"/>
  <c r="BX184" i="1"/>
  <c r="BX171" i="1"/>
  <c r="BX160" i="1"/>
  <c r="BX152" i="1"/>
  <c r="BX148" i="1"/>
  <c r="BX143" i="1"/>
  <c r="BX127" i="1"/>
  <c r="BX77" i="1"/>
  <c r="BX78" i="1"/>
  <c r="BX74" i="1"/>
  <c r="BX70" i="1"/>
  <c r="BX64" i="1"/>
  <c r="BX65" i="1"/>
  <c r="BX69" i="1"/>
  <c r="BX62" i="1"/>
  <c r="BX61" i="1"/>
  <c r="BX58" i="1"/>
  <c r="BX54" i="1"/>
  <c r="BX55" i="1"/>
  <c r="BX53" i="1"/>
  <c r="BX51" i="1"/>
  <c r="BX52" i="1"/>
  <c r="BX45" i="1"/>
  <c r="BX47" i="1"/>
  <c r="BX42" i="1"/>
  <c r="BX43" i="1"/>
  <c r="BX37" i="1"/>
  <c r="BX38" i="1"/>
  <c r="BX39" i="1"/>
  <c r="BX33" i="1"/>
  <c r="BX23" i="1"/>
  <c r="BX24" i="1"/>
  <c r="BX157" i="1"/>
  <c r="BX76" i="1"/>
  <c r="BX75" i="1"/>
  <c r="BX71" i="1"/>
  <c r="BX44" i="1"/>
  <c r="BX35" i="1"/>
  <c r="BX36" i="1"/>
  <c r="BX40" i="1"/>
  <c r="BX41" i="1"/>
  <c r="BX34" i="1"/>
  <c r="BX31" i="1"/>
  <c r="BX32" i="1"/>
  <c r="BX30" i="1"/>
  <c r="BX29" i="1"/>
  <c r="BX27" i="1"/>
  <c r="BX28" i="1"/>
  <c r="BX25" i="1"/>
  <c r="BX26" i="1"/>
  <c r="BX19" i="1"/>
  <c r="BX20" i="1"/>
  <c r="BX21" i="1"/>
  <c r="BX22" i="1"/>
  <c r="BX18" i="1"/>
  <c r="BX15" i="1"/>
  <c r="BX16" i="1"/>
  <c r="BX17" i="1"/>
  <c r="BX13" i="1"/>
  <c r="BX14" i="1"/>
  <c r="BX10" i="1"/>
  <c r="BX11" i="1"/>
  <c r="BX12" i="1"/>
  <c r="BX9" i="1"/>
  <c r="BX2" i="1"/>
  <c r="BX3" i="1"/>
  <c r="BX4" i="1"/>
  <c r="BX5" i="1"/>
  <c r="BX6" i="1"/>
  <c r="BX7" i="1"/>
  <c r="BX8" i="1"/>
  <c r="CH192" i="1"/>
  <c r="CH190" i="1"/>
  <c r="CH191" i="1"/>
  <c r="CH189" i="1"/>
  <c r="CH188" i="1"/>
  <c r="CH186" i="1"/>
  <c r="CH181" i="1"/>
  <c r="CH182" i="1"/>
  <c r="CH180" i="1"/>
  <c r="CH178" i="1"/>
  <c r="CH179" i="1"/>
  <c r="CH174" i="1"/>
  <c r="CH175" i="1"/>
  <c r="CH176" i="1"/>
  <c r="CH177" i="1"/>
  <c r="CH172" i="1"/>
  <c r="CH170" i="1"/>
  <c r="CH165" i="1"/>
  <c r="CH166" i="1"/>
  <c r="CH161" i="1"/>
  <c r="CH162" i="1"/>
  <c r="CH158" i="1"/>
  <c r="CH155" i="1"/>
  <c r="CH156" i="1"/>
  <c r="CH154" i="1"/>
  <c r="CH144" i="1"/>
  <c r="CH145" i="1"/>
  <c r="CH140" i="1"/>
  <c r="CH141" i="1"/>
  <c r="CH142" i="1"/>
  <c r="CH133" i="1"/>
  <c r="CH134" i="1"/>
  <c r="CH135" i="1"/>
  <c r="CH124" i="1"/>
  <c r="CH117" i="1"/>
  <c r="CH118" i="1"/>
  <c r="CH119" i="1"/>
  <c r="CH120" i="1"/>
  <c r="CH111" i="1"/>
  <c r="CH112" i="1"/>
  <c r="CH113" i="1"/>
  <c r="CH106" i="1"/>
  <c r="CH107" i="1"/>
  <c r="CH108" i="1"/>
  <c r="CH109" i="1"/>
  <c r="CH95" i="1"/>
  <c r="CH96" i="1"/>
  <c r="CH97" i="1"/>
  <c r="CH98" i="1"/>
  <c r="CH99" i="1"/>
  <c r="CH100" i="1"/>
  <c r="CH87" i="1"/>
  <c r="CH85" i="1"/>
  <c r="CH83" i="1"/>
  <c r="CH73" i="1"/>
  <c r="CH187" i="1"/>
  <c r="CH185" i="1"/>
  <c r="CH183" i="1"/>
  <c r="CH173" i="1"/>
  <c r="CH167" i="1"/>
  <c r="CH168" i="1"/>
  <c r="CH169" i="1"/>
  <c r="CH163" i="1"/>
  <c r="CH164" i="1"/>
  <c r="CH159" i="1"/>
  <c r="CH153" i="1"/>
  <c r="CH149" i="1"/>
  <c r="CH150" i="1"/>
  <c r="CH151" i="1"/>
  <c r="CH146" i="1"/>
  <c r="CH147" i="1"/>
  <c r="CH136" i="1"/>
  <c r="CH137" i="1"/>
  <c r="CH138" i="1"/>
  <c r="CH139" i="1"/>
  <c r="CH131" i="1"/>
  <c r="CH132" i="1"/>
  <c r="CH128" i="1"/>
  <c r="CH129" i="1"/>
  <c r="CH130" i="1"/>
  <c r="CH123" i="1"/>
  <c r="CH125" i="1"/>
  <c r="CH126" i="1"/>
  <c r="CH121" i="1"/>
  <c r="CH122" i="1"/>
  <c r="CH114" i="1"/>
  <c r="CH115" i="1"/>
  <c r="CH116" i="1"/>
  <c r="CH110" i="1"/>
  <c r="CH105" i="1"/>
  <c r="CH104" i="1"/>
  <c r="CH101" i="1"/>
  <c r="CH102" i="1"/>
  <c r="CH103" i="1"/>
  <c r="CH94" i="1"/>
  <c r="CH90" i="1"/>
  <c r="CH91" i="1"/>
  <c r="CH92" i="1"/>
  <c r="CH93" i="1"/>
  <c r="CH88" i="1"/>
  <c r="CH89" i="1"/>
  <c r="CH84" i="1"/>
  <c r="CH86" i="1"/>
  <c r="CH82" i="1"/>
  <c r="CH80" i="1"/>
  <c r="CH81" i="1"/>
  <c r="CH79" i="1"/>
  <c r="CH72" i="1"/>
  <c r="CH66" i="1"/>
  <c r="CH67" i="1"/>
  <c r="CH68" i="1"/>
  <c r="CH63" i="1"/>
  <c r="CH60" i="1"/>
  <c r="CH57" i="1"/>
  <c r="CH59" i="1"/>
  <c r="CH56" i="1"/>
  <c r="CH49" i="1"/>
  <c r="CH50" i="1"/>
  <c r="CH48" i="1"/>
  <c r="CH46" i="1"/>
  <c r="CH184" i="1"/>
  <c r="CH171" i="1"/>
  <c r="CH160" i="1"/>
  <c r="CH152" i="1"/>
  <c r="CH148" i="1"/>
  <c r="CH143" i="1"/>
  <c r="CH127" i="1"/>
  <c r="CH77" i="1"/>
  <c r="CH78" i="1"/>
  <c r="CH74" i="1"/>
  <c r="CH70" i="1"/>
  <c r="CH64" i="1"/>
  <c r="CH65" i="1"/>
  <c r="CH69" i="1"/>
  <c r="CH62" i="1"/>
  <c r="CH61" i="1"/>
  <c r="CH58" i="1"/>
  <c r="CH54" i="1"/>
  <c r="CH55" i="1"/>
  <c r="CH53" i="1"/>
  <c r="CH51" i="1"/>
  <c r="CH52" i="1"/>
  <c r="CH45" i="1"/>
  <c r="CH47" i="1"/>
  <c r="CH42" i="1"/>
  <c r="CH43" i="1"/>
  <c r="CH37" i="1"/>
  <c r="CH38" i="1"/>
  <c r="CH39" i="1"/>
  <c r="CH33" i="1"/>
  <c r="CH23" i="1"/>
  <c r="CH24" i="1"/>
  <c r="CH157" i="1"/>
  <c r="CH76" i="1"/>
  <c r="CH75" i="1"/>
  <c r="CH71" i="1"/>
  <c r="CH44" i="1"/>
  <c r="CH35" i="1"/>
  <c r="CH36" i="1"/>
  <c r="CH40" i="1"/>
  <c r="CH41" i="1"/>
  <c r="CH34" i="1"/>
  <c r="CH31" i="1"/>
  <c r="CH32" i="1"/>
  <c r="CH30" i="1"/>
  <c r="CH29" i="1"/>
  <c r="CH27" i="1"/>
  <c r="CH28" i="1"/>
  <c r="CH25" i="1"/>
  <c r="CH26" i="1"/>
  <c r="CH19" i="1"/>
  <c r="CH20" i="1"/>
  <c r="CH21" i="1"/>
  <c r="CH22" i="1"/>
  <c r="CH18" i="1"/>
  <c r="CH15" i="1"/>
  <c r="CH16" i="1"/>
  <c r="CH17" i="1"/>
  <c r="CH13" i="1"/>
  <c r="CH14" i="1"/>
  <c r="CH10" i="1"/>
  <c r="CH11" i="1"/>
  <c r="CH12" i="1"/>
  <c r="CH9" i="1"/>
  <c r="CH2" i="1"/>
  <c r="CH3" i="1"/>
  <c r="CH4" i="1"/>
  <c r="CH5" i="1"/>
  <c r="CH6" i="1"/>
  <c r="CH7" i="1"/>
  <c r="CH8" i="1"/>
  <c r="CG192" i="1"/>
  <c r="CG190" i="1"/>
  <c r="CG191" i="1"/>
  <c r="CG189" i="1"/>
  <c r="CG188" i="1"/>
  <c r="CG186" i="1"/>
  <c r="CG181" i="1"/>
  <c r="CG182" i="1"/>
  <c r="CG180" i="1"/>
  <c r="CG178" i="1"/>
  <c r="CG179" i="1"/>
  <c r="CG174" i="1"/>
  <c r="CG175" i="1"/>
  <c r="CG176" i="1"/>
  <c r="CG177" i="1"/>
  <c r="CG172" i="1"/>
  <c r="CG170" i="1"/>
  <c r="CG165" i="1"/>
  <c r="CG166" i="1"/>
  <c r="CG161" i="1"/>
  <c r="CG162" i="1"/>
  <c r="CG158" i="1"/>
  <c r="CG155" i="1"/>
  <c r="CG156" i="1"/>
  <c r="CG154" i="1"/>
  <c r="CG144" i="1"/>
  <c r="CG145" i="1"/>
  <c r="CG140" i="1"/>
  <c r="CG141" i="1"/>
  <c r="CG142" i="1"/>
  <c r="CG133" i="1"/>
  <c r="CG134" i="1"/>
  <c r="CG135" i="1"/>
  <c r="CG124" i="1"/>
  <c r="CG117" i="1"/>
  <c r="CG118" i="1"/>
  <c r="CG119" i="1"/>
  <c r="CG120" i="1"/>
  <c r="CG111" i="1"/>
  <c r="CG112" i="1"/>
  <c r="CG113" i="1"/>
  <c r="CG106" i="1"/>
  <c r="CG107" i="1"/>
  <c r="CG108" i="1"/>
  <c r="CG109" i="1"/>
  <c r="CG95" i="1"/>
  <c r="CG96" i="1"/>
  <c r="CG97" i="1"/>
  <c r="CG98" i="1"/>
  <c r="CG99" i="1"/>
  <c r="CG100" i="1"/>
  <c r="CG87" i="1"/>
  <c r="CG85" i="1"/>
  <c r="CG83" i="1"/>
  <c r="CG73" i="1"/>
  <c r="CG187" i="1"/>
  <c r="CG185" i="1"/>
  <c r="CG183" i="1"/>
  <c r="CG173" i="1"/>
  <c r="CG167" i="1"/>
  <c r="CG168" i="1"/>
  <c r="CG169" i="1"/>
  <c r="CG163" i="1"/>
  <c r="CG164" i="1"/>
  <c r="CG159" i="1"/>
  <c r="CG153" i="1"/>
  <c r="CG149" i="1"/>
  <c r="CG150" i="1"/>
  <c r="CG151" i="1"/>
  <c r="CG146" i="1"/>
  <c r="CG147" i="1"/>
  <c r="CG136" i="1"/>
  <c r="CG137" i="1"/>
  <c r="CG138" i="1"/>
  <c r="CG139" i="1"/>
  <c r="CG131" i="1"/>
  <c r="CG132" i="1"/>
  <c r="CG128" i="1"/>
  <c r="CG129" i="1"/>
  <c r="CG130" i="1"/>
  <c r="CG123" i="1"/>
  <c r="CG125" i="1"/>
  <c r="CG126" i="1"/>
  <c r="CG121" i="1"/>
  <c r="CG122" i="1"/>
  <c r="CG114" i="1"/>
  <c r="CG115" i="1"/>
  <c r="CG116" i="1"/>
  <c r="CG110" i="1"/>
  <c r="CG105" i="1"/>
  <c r="CG104" i="1"/>
  <c r="CG101" i="1"/>
  <c r="CG102" i="1"/>
  <c r="CG103" i="1"/>
  <c r="CG94" i="1"/>
  <c r="CG90" i="1"/>
  <c r="CG91" i="1"/>
  <c r="CG92" i="1"/>
  <c r="CG93" i="1"/>
  <c r="CG88" i="1"/>
  <c r="CG89" i="1"/>
  <c r="CG84" i="1"/>
  <c r="CG86" i="1"/>
  <c r="CG82" i="1"/>
  <c r="CG80" i="1"/>
  <c r="CG81" i="1"/>
  <c r="CG79" i="1"/>
  <c r="CG72" i="1"/>
  <c r="CG66" i="1"/>
  <c r="CG67" i="1"/>
  <c r="CG68" i="1"/>
  <c r="CG63" i="1"/>
  <c r="CG60" i="1"/>
  <c r="CG57" i="1"/>
  <c r="CG59" i="1"/>
  <c r="CG56" i="1"/>
  <c r="CG49" i="1"/>
  <c r="CG50" i="1"/>
  <c r="CG48" i="1"/>
  <c r="CG46" i="1"/>
  <c r="CG184" i="1"/>
  <c r="CG171" i="1"/>
  <c r="CG160" i="1"/>
  <c r="CG152" i="1"/>
  <c r="CG148" i="1"/>
  <c r="CG143" i="1"/>
  <c r="CG127" i="1"/>
  <c r="CG77" i="1"/>
  <c r="CG78" i="1"/>
  <c r="CG74" i="1"/>
  <c r="CG70" i="1"/>
  <c r="CG64" i="1"/>
  <c r="CG65" i="1"/>
  <c r="CG69" i="1"/>
  <c r="CG62" i="1"/>
  <c r="CG61" i="1"/>
  <c r="CG58" i="1"/>
  <c r="CG54" i="1"/>
  <c r="CG55" i="1"/>
  <c r="CG53" i="1"/>
  <c r="CG51" i="1"/>
  <c r="CG52" i="1"/>
  <c r="CG45" i="1"/>
  <c r="CG47" i="1"/>
  <c r="CG42" i="1"/>
  <c r="CG43" i="1"/>
  <c r="CG37" i="1"/>
  <c r="CG38" i="1"/>
  <c r="CG39" i="1"/>
  <c r="CG33" i="1"/>
  <c r="CG23" i="1"/>
  <c r="CG24" i="1"/>
  <c r="CG157" i="1"/>
  <c r="CG76" i="1"/>
  <c r="CG75" i="1"/>
  <c r="CG71" i="1"/>
  <c r="CG44" i="1"/>
  <c r="CG35" i="1"/>
  <c r="CG36" i="1"/>
  <c r="CG40" i="1"/>
  <c r="CG41" i="1"/>
  <c r="CG34" i="1"/>
  <c r="CG31" i="1"/>
  <c r="CG32" i="1"/>
  <c r="CG30" i="1"/>
  <c r="CG29" i="1"/>
  <c r="CG27" i="1"/>
  <c r="CG28" i="1"/>
  <c r="CG25" i="1"/>
  <c r="CG26" i="1"/>
  <c r="CG19" i="1"/>
  <c r="CG20" i="1"/>
  <c r="CG21" i="1"/>
  <c r="CG22" i="1"/>
  <c r="CG18" i="1"/>
  <c r="CG15" i="1"/>
  <c r="CG16" i="1"/>
  <c r="CG17" i="1"/>
  <c r="CG13" i="1"/>
  <c r="CG14" i="1"/>
  <c r="CG10" i="1"/>
  <c r="CG11" i="1"/>
  <c r="CG12" i="1"/>
  <c r="CG9" i="1"/>
  <c r="CG2" i="1"/>
  <c r="CG3" i="1"/>
  <c r="CG4" i="1"/>
  <c r="CG5" i="1"/>
  <c r="CG6" i="1"/>
  <c r="CG7" i="1"/>
  <c r="CG8" i="1"/>
  <c r="CF192" i="1"/>
  <c r="CF190" i="1"/>
  <c r="CF191" i="1"/>
  <c r="CF189" i="1"/>
  <c r="CF188" i="1"/>
  <c r="CF186" i="1"/>
  <c r="CF181" i="1"/>
  <c r="CF182" i="1"/>
  <c r="CF180" i="1"/>
  <c r="CF178" i="1"/>
  <c r="CF179" i="1"/>
  <c r="CF174" i="1"/>
  <c r="CF175" i="1"/>
  <c r="CF176" i="1"/>
  <c r="CF177" i="1"/>
  <c r="CF172" i="1"/>
  <c r="CF170" i="1"/>
  <c r="CF165" i="1"/>
  <c r="CF166" i="1"/>
  <c r="CF161" i="1"/>
  <c r="CF162" i="1"/>
  <c r="CF158" i="1"/>
  <c r="CF155" i="1"/>
  <c r="CF156" i="1"/>
  <c r="CF154" i="1"/>
  <c r="CF144" i="1"/>
  <c r="CF145" i="1"/>
  <c r="CF140" i="1"/>
  <c r="CF141" i="1"/>
  <c r="CF142" i="1"/>
  <c r="CF133" i="1"/>
  <c r="CF134" i="1"/>
  <c r="CF135" i="1"/>
  <c r="CF124" i="1"/>
  <c r="CF117" i="1"/>
  <c r="CF118" i="1"/>
  <c r="CF119" i="1"/>
  <c r="CF120" i="1"/>
  <c r="CF111" i="1"/>
  <c r="CF112" i="1"/>
  <c r="CF113" i="1"/>
  <c r="CF106" i="1"/>
  <c r="CF107" i="1"/>
  <c r="CF108" i="1"/>
  <c r="CF109" i="1"/>
  <c r="CF95" i="1"/>
  <c r="CF96" i="1"/>
  <c r="CF97" i="1"/>
  <c r="CF98" i="1"/>
  <c r="CF99" i="1"/>
  <c r="CF100" i="1"/>
  <c r="CF87" i="1"/>
  <c r="CF85" i="1"/>
  <c r="CF83" i="1"/>
  <c r="CF73" i="1"/>
  <c r="CF187" i="1"/>
  <c r="CF185" i="1"/>
  <c r="CF183" i="1"/>
  <c r="CF173" i="1"/>
  <c r="CF167" i="1"/>
  <c r="CF168" i="1"/>
  <c r="CF169" i="1"/>
  <c r="CF163" i="1"/>
  <c r="CF164" i="1"/>
  <c r="CF159" i="1"/>
  <c r="CF153" i="1"/>
  <c r="CF149" i="1"/>
  <c r="CF150" i="1"/>
  <c r="CF151" i="1"/>
  <c r="CF146" i="1"/>
  <c r="CF147" i="1"/>
  <c r="CF136" i="1"/>
  <c r="CF137" i="1"/>
  <c r="CF138" i="1"/>
  <c r="CF139" i="1"/>
  <c r="CF131" i="1"/>
  <c r="CF132" i="1"/>
  <c r="CF128" i="1"/>
  <c r="CF129" i="1"/>
  <c r="CF130" i="1"/>
  <c r="CF123" i="1"/>
  <c r="CF125" i="1"/>
  <c r="CF126" i="1"/>
  <c r="CF121" i="1"/>
  <c r="CF122" i="1"/>
  <c r="CF114" i="1"/>
  <c r="CF115" i="1"/>
  <c r="CF116" i="1"/>
  <c r="CF110" i="1"/>
  <c r="CF105" i="1"/>
  <c r="CF104" i="1"/>
  <c r="CF101" i="1"/>
  <c r="CF102" i="1"/>
  <c r="CF103" i="1"/>
  <c r="CF94" i="1"/>
  <c r="CF90" i="1"/>
  <c r="CF91" i="1"/>
  <c r="CF92" i="1"/>
  <c r="CF93" i="1"/>
  <c r="CF88" i="1"/>
  <c r="CF89" i="1"/>
  <c r="CF84" i="1"/>
  <c r="CF86" i="1"/>
  <c r="CF82" i="1"/>
  <c r="CF80" i="1"/>
  <c r="CF81" i="1"/>
  <c r="CF79" i="1"/>
  <c r="CF72" i="1"/>
  <c r="CF66" i="1"/>
  <c r="CF67" i="1"/>
  <c r="CF68" i="1"/>
  <c r="CF63" i="1"/>
  <c r="CF60" i="1"/>
  <c r="CF57" i="1"/>
  <c r="CF59" i="1"/>
  <c r="CF56" i="1"/>
  <c r="CF49" i="1"/>
  <c r="CF50" i="1"/>
  <c r="CF48" i="1"/>
  <c r="CF46" i="1"/>
  <c r="CF184" i="1"/>
  <c r="CF171" i="1"/>
  <c r="CF160" i="1"/>
  <c r="CF152" i="1"/>
  <c r="CF148" i="1"/>
  <c r="CF143" i="1"/>
  <c r="CF127" i="1"/>
  <c r="CF77" i="1"/>
  <c r="CF78" i="1"/>
  <c r="CF74" i="1"/>
  <c r="CF70" i="1"/>
  <c r="CF64" i="1"/>
  <c r="CF65" i="1"/>
  <c r="CF69" i="1"/>
  <c r="CF62" i="1"/>
  <c r="CF61" i="1"/>
  <c r="CF58" i="1"/>
  <c r="CF54" i="1"/>
  <c r="CF55" i="1"/>
  <c r="CF53" i="1"/>
  <c r="CF51" i="1"/>
  <c r="CF52" i="1"/>
  <c r="CF45" i="1"/>
  <c r="CF47" i="1"/>
  <c r="CF42" i="1"/>
  <c r="CF43" i="1"/>
  <c r="CF37" i="1"/>
  <c r="CF38" i="1"/>
  <c r="CF39" i="1"/>
  <c r="CF33" i="1"/>
  <c r="CF23" i="1"/>
  <c r="CF24" i="1"/>
  <c r="CF157" i="1"/>
  <c r="CF76" i="1"/>
  <c r="CF75" i="1"/>
  <c r="CF71" i="1"/>
  <c r="CF44" i="1"/>
  <c r="CF35" i="1"/>
  <c r="CF36" i="1"/>
  <c r="CF40" i="1"/>
  <c r="CF41" i="1"/>
  <c r="CF34" i="1"/>
  <c r="CF31" i="1"/>
  <c r="CF32" i="1"/>
  <c r="CF30" i="1"/>
  <c r="CF29" i="1"/>
  <c r="CF27" i="1"/>
  <c r="CF28" i="1"/>
  <c r="CF25" i="1"/>
  <c r="CF26" i="1"/>
  <c r="CF19" i="1"/>
  <c r="CF20" i="1"/>
  <c r="CF21" i="1"/>
  <c r="CF22" i="1"/>
  <c r="CF18" i="1"/>
  <c r="CF15" i="1"/>
  <c r="CF16" i="1"/>
  <c r="CF17" i="1"/>
  <c r="CF13" i="1"/>
  <c r="CF14" i="1"/>
  <c r="CF10" i="1"/>
  <c r="CF11" i="1"/>
  <c r="CF12" i="1"/>
  <c r="CF9" i="1"/>
  <c r="CF2" i="1"/>
  <c r="CF3" i="1"/>
  <c r="CF4" i="1"/>
  <c r="CF5" i="1"/>
  <c r="CF6" i="1"/>
  <c r="CF7" i="1"/>
  <c r="CF8" i="1"/>
  <c r="CG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CG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CG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CG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CG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CG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CG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CG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CG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CG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CG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CG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CG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CG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CG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CG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CG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CG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CG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CG5" i="4"/>
  <c r="CE5" i="4"/>
  <c r="CD5" i="4"/>
  <c r="CC5" i="4"/>
  <c r="CB5" i="4"/>
  <c r="CA5" i="4"/>
  <c r="BZ5" i="4"/>
  <c r="BY5" i="4"/>
  <c r="BX5" i="4"/>
  <c r="BW5" i="4"/>
  <c r="BV5" i="4"/>
  <c r="BU5" i="4"/>
  <c r="BT5" i="4"/>
  <c r="BS5" i="4"/>
  <c r="CG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CG3" i="4"/>
  <c r="CE3" i="4"/>
  <c r="CD3" i="4"/>
  <c r="CC3" i="4"/>
  <c r="CB3" i="4"/>
  <c r="CA3" i="4"/>
  <c r="BZ3" i="4"/>
  <c r="BY3" i="4"/>
  <c r="BX3" i="4"/>
  <c r="BW3" i="4"/>
  <c r="BV3" i="4"/>
  <c r="BU3" i="4"/>
  <c r="BT3" i="4"/>
  <c r="BS3" i="4"/>
  <c r="CG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CJ190" i="1"/>
  <c r="CJ191" i="1"/>
  <c r="CJ189" i="1"/>
  <c r="CJ188" i="1"/>
  <c r="CJ186" i="1"/>
  <c r="CJ181" i="1"/>
  <c r="CJ182" i="1"/>
  <c r="CJ180" i="1"/>
  <c r="CJ178" i="1"/>
  <c r="CJ179" i="1"/>
  <c r="CJ174" i="1"/>
  <c r="CJ175" i="1"/>
  <c r="CJ176" i="1"/>
  <c r="CJ177" i="1"/>
  <c r="CJ172" i="1"/>
  <c r="CJ170" i="1"/>
  <c r="CJ165" i="1"/>
  <c r="CJ166" i="1"/>
  <c r="CJ161" i="1"/>
  <c r="CJ162" i="1"/>
  <c r="CJ158" i="1"/>
  <c r="CJ155" i="1"/>
  <c r="CJ156" i="1"/>
  <c r="CJ154" i="1"/>
  <c r="CJ144" i="1"/>
  <c r="CJ145" i="1"/>
  <c r="CJ140" i="1"/>
  <c r="CJ141" i="1"/>
  <c r="CJ142" i="1"/>
  <c r="CJ133" i="1"/>
  <c r="CJ134" i="1"/>
  <c r="CJ135" i="1"/>
  <c r="CJ124" i="1"/>
  <c r="CJ117" i="1"/>
  <c r="CJ118" i="1"/>
  <c r="CJ119" i="1"/>
  <c r="CJ120" i="1"/>
  <c r="CJ111" i="1"/>
  <c r="CJ112" i="1"/>
  <c r="CJ113" i="1"/>
  <c r="CJ106" i="1"/>
  <c r="CJ107" i="1"/>
  <c r="CJ108" i="1"/>
  <c r="CJ109" i="1"/>
  <c r="CJ95" i="1"/>
  <c r="CJ96" i="1"/>
  <c r="CJ97" i="1"/>
  <c r="CJ98" i="1"/>
  <c r="CJ99" i="1"/>
  <c r="CJ100" i="1"/>
  <c r="CJ87" i="1"/>
  <c r="CJ85" i="1"/>
  <c r="CJ83" i="1"/>
  <c r="CJ73" i="1"/>
  <c r="CJ187" i="1"/>
  <c r="CJ185" i="1"/>
  <c r="CJ183" i="1"/>
  <c r="CJ173" i="1"/>
  <c r="CJ167" i="1"/>
  <c r="CJ168" i="1"/>
  <c r="CJ169" i="1"/>
  <c r="CJ163" i="1"/>
  <c r="CJ164" i="1"/>
  <c r="CJ159" i="1"/>
  <c r="CJ153" i="1"/>
  <c r="CJ149" i="1"/>
  <c r="CJ150" i="1"/>
  <c r="CJ151" i="1"/>
  <c r="CJ146" i="1"/>
  <c r="CJ147" i="1"/>
  <c r="CJ136" i="1"/>
  <c r="CJ137" i="1"/>
  <c r="CJ138" i="1"/>
  <c r="CJ139" i="1"/>
  <c r="CJ131" i="1"/>
  <c r="CJ132" i="1"/>
  <c r="CJ128" i="1"/>
  <c r="CJ129" i="1"/>
  <c r="CJ130" i="1"/>
  <c r="CJ123" i="1"/>
  <c r="CJ125" i="1"/>
  <c r="CJ126" i="1"/>
  <c r="CJ121" i="1"/>
  <c r="CJ122" i="1"/>
  <c r="CJ114" i="1"/>
  <c r="CJ115" i="1"/>
  <c r="CJ116" i="1"/>
  <c r="CJ110" i="1"/>
  <c r="CJ105" i="1"/>
  <c r="CJ104" i="1"/>
  <c r="CJ101" i="1"/>
  <c r="CJ102" i="1"/>
  <c r="CJ103" i="1"/>
  <c r="CJ94" i="1"/>
  <c r="CJ90" i="1"/>
  <c r="CJ91" i="1"/>
  <c r="CJ92" i="1"/>
  <c r="CJ93" i="1"/>
  <c r="CJ88" i="1"/>
  <c r="CJ89" i="1"/>
  <c r="CJ84" i="1"/>
  <c r="CJ86" i="1"/>
  <c r="CJ82" i="1"/>
  <c r="CJ80" i="1"/>
  <c r="CJ81" i="1"/>
  <c r="CJ79" i="1"/>
  <c r="CJ72" i="1"/>
  <c r="CJ66" i="1"/>
  <c r="CJ67" i="1"/>
  <c r="CJ68" i="1"/>
  <c r="CJ63" i="1"/>
  <c r="CJ60" i="1"/>
  <c r="CJ57" i="1"/>
  <c r="CJ59" i="1"/>
  <c r="CJ56" i="1"/>
  <c r="CJ49" i="1"/>
  <c r="CJ50" i="1"/>
  <c r="CJ48" i="1"/>
  <c r="CJ46" i="1"/>
  <c r="CJ184" i="1"/>
  <c r="CJ171" i="1"/>
  <c r="CJ160" i="1"/>
  <c r="CJ152" i="1"/>
  <c r="CJ148" i="1"/>
  <c r="CJ143" i="1"/>
  <c r="CJ127" i="1"/>
  <c r="CJ77" i="1"/>
  <c r="CJ78" i="1"/>
  <c r="CJ74" i="1"/>
  <c r="CJ70" i="1"/>
  <c r="CJ64" i="1"/>
  <c r="CJ65" i="1"/>
  <c r="CJ69" i="1"/>
  <c r="CJ62" i="1"/>
  <c r="CJ61" i="1"/>
  <c r="CJ58" i="1"/>
  <c r="CJ54" i="1"/>
  <c r="CJ55" i="1"/>
  <c r="CJ53" i="1"/>
  <c r="CJ51" i="1"/>
  <c r="CJ52" i="1"/>
  <c r="CJ45" i="1"/>
  <c r="CJ47" i="1"/>
  <c r="CJ42" i="1"/>
  <c r="CJ43" i="1"/>
  <c r="CJ37" i="1"/>
  <c r="CJ38" i="1"/>
  <c r="CJ39" i="1"/>
  <c r="CJ33" i="1"/>
  <c r="CJ23" i="1"/>
  <c r="CJ24" i="1"/>
  <c r="CJ157" i="1"/>
  <c r="CJ76" i="1"/>
  <c r="CJ75" i="1"/>
  <c r="CJ71" i="1"/>
  <c r="CJ44" i="1"/>
  <c r="CJ35" i="1"/>
  <c r="CJ36" i="1"/>
  <c r="CJ40" i="1"/>
  <c r="CJ41" i="1"/>
  <c r="CJ34" i="1"/>
  <c r="CJ31" i="1"/>
  <c r="CJ32" i="1"/>
  <c r="CJ30" i="1"/>
  <c r="CJ29" i="1"/>
  <c r="CJ27" i="1"/>
  <c r="CJ28" i="1"/>
  <c r="CJ25" i="1"/>
  <c r="CJ26" i="1"/>
  <c r="CJ19" i="1"/>
  <c r="CJ20" i="1"/>
  <c r="CJ21" i="1"/>
  <c r="CJ22" i="1"/>
  <c r="CJ18" i="1"/>
  <c r="CJ15" i="1"/>
  <c r="CJ16" i="1"/>
  <c r="CJ17" i="1"/>
  <c r="CJ13" i="1"/>
  <c r="CJ14" i="1"/>
  <c r="CJ10" i="1"/>
  <c r="CJ11" i="1"/>
  <c r="CJ12" i="1"/>
  <c r="CJ9" i="1"/>
  <c r="CJ2" i="1"/>
  <c r="CJ3" i="1"/>
  <c r="CJ4" i="1"/>
  <c r="CJ5" i="1"/>
  <c r="CJ6" i="1"/>
  <c r="CJ7" i="1"/>
  <c r="CJ8" i="1"/>
  <c r="CJ192" i="1"/>
  <c r="CE192" i="1"/>
  <c r="CE190" i="1"/>
  <c r="CE191" i="1"/>
  <c r="CE189" i="1"/>
  <c r="CE188" i="1"/>
  <c r="CE186" i="1"/>
  <c r="CE181" i="1"/>
  <c r="CE182" i="1"/>
  <c r="CE180" i="1"/>
  <c r="CE178" i="1"/>
  <c r="CE179" i="1"/>
  <c r="CE174" i="1"/>
  <c r="CE175" i="1"/>
  <c r="CE176" i="1"/>
  <c r="CE177" i="1"/>
  <c r="CE172" i="1"/>
  <c r="CE170" i="1"/>
  <c r="CE165" i="1"/>
  <c r="CE166" i="1"/>
  <c r="CE161" i="1"/>
  <c r="CE162" i="1"/>
  <c r="CE158" i="1"/>
  <c r="CE155" i="1"/>
  <c r="CE156" i="1"/>
  <c r="CE154" i="1"/>
  <c r="CE144" i="1"/>
  <c r="CE145" i="1"/>
  <c r="CE140" i="1"/>
  <c r="CE141" i="1"/>
  <c r="CE142" i="1"/>
  <c r="CE133" i="1"/>
  <c r="CE134" i="1"/>
  <c r="CE135" i="1"/>
  <c r="CE124" i="1"/>
  <c r="CE117" i="1"/>
  <c r="CE118" i="1"/>
  <c r="CE119" i="1"/>
  <c r="CE120" i="1"/>
  <c r="CE111" i="1"/>
  <c r="CE112" i="1"/>
  <c r="CE113" i="1"/>
  <c r="CE106" i="1"/>
  <c r="CE107" i="1"/>
  <c r="CE108" i="1"/>
  <c r="CE109" i="1"/>
  <c r="CE95" i="1"/>
  <c r="CE96" i="1"/>
  <c r="CE97" i="1"/>
  <c r="CE98" i="1"/>
  <c r="CE99" i="1"/>
  <c r="CE100" i="1"/>
  <c r="CE87" i="1"/>
  <c r="CE85" i="1"/>
  <c r="CE83" i="1"/>
  <c r="CE73" i="1"/>
  <c r="CE187" i="1"/>
  <c r="CE185" i="1"/>
  <c r="CE183" i="1"/>
  <c r="CE173" i="1"/>
  <c r="CE167" i="1"/>
  <c r="CE168" i="1"/>
  <c r="CE169" i="1"/>
  <c r="CE163" i="1"/>
  <c r="CE164" i="1"/>
  <c r="CE159" i="1"/>
  <c r="CE153" i="1"/>
  <c r="CE149" i="1"/>
  <c r="CE150" i="1"/>
  <c r="CE151" i="1"/>
  <c r="CE146" i="1"/>
  <c r="CE147" i="1"/>
  <c r="CE136" i="1"/>
  <c r="CE137" i="1"/>
  <c r="CE138" i="1"/>
  <c r="CE139" i="1"/>
  <c r="CE131" i="1"/>
  <c r="CE132" i="1"/>
  <c r="CE128" i="1"/>
  <c r="CE129" i="1"/>
  <c r="CE130" i="1"/>
  <c r="CE123" i="1"/>
  <c r="CE125" i="1"/>
  <c r="CE126" i="1"/>
  <c r="CE121" i="1"/>
  <c r="CE122" i="1"/>
  <c r="CE114" i="1"/>
  <c r="CE115" i="1"/>
  <c r="CE116" i="1"/>
  <c r="CE110" i="1"/>
  <c r="CE105" i="1"/>
  <c r="CE104" i="1"/>
  <c r="CE101" i="1"/>
  <c r="CE102" i="1"/>
  <c r="CE103" i="1"/>
  <c r="CE94" i="1"/>
  <c r="CE90" i="1"/>
  <c r="CE91" i="1"/>
  <c r="CE92" i="1"/>
  <c r="CE93" i="1"/>
  <c r="CE88" i="1"/>
  <c r="CE89" i="1"/>
  <c r="CE84" i="1"/>
  <c r="CE86" i="1"/>
  <c r="CE82" i="1"/>
  <c r="CE80" i="1"/>
  <c r="CE81" i="1"/>
  <c r="CE79" i="1"/>
  <c r="CE72" i="1"/>
  <c r="CE66" i="1"/>
  <c r="CE67" i="1"/>
  <c r="CE68" i="1"/>
  <c r="CE63" i="1"/>
  <c r="CE60" i="1"/>
  <c r="CE57" i="1"/>
  <c r="CE59" i="1"/>
  <c r="CE56" i="1"/>
  <c r="CE49" i="1"/>
  <c r="CE50" i="1"/>
  <c r="CE48" i="1"/>
  <c r="CE46" i="1"/>
  <c r="CE184" i="1"/>
  <c r="CE171" i="1"/>
  <c r="CE160" i="1"/>
  <c r="CE152" i="1"/>
  <c r="CE148" i="1"/>
  <c r="CE143" i="1"/>
  <c r="CE127" i="1"/>
  <c r="CE77" i="1"/>
  <c r="CE78" i="1"/>
  <c r="CE74" i="1"/>
  <c r="CE70" i="1"/>
  <c r="CE64" i="1"/>
  <c r="CE65" i="1"/>
  <c r="CE69" i="1"/>
  <c r="CE62" i="1"/>
  <c r="CE61" i="1"/>
  <c r="CE58" i="1"/>
  <c r="CE54" i="1"/>
  <c r="CE55" i="1"/>
  <c r="CE53" i="1"/>
  <c r="CE51" i="1"/>
  <c r="CE52" i="1"/>
  <c r="CE45" i="1"/>
  <c r="CE47" i="1"/>
  <c r="CE42" i="1"/>
  <c r="CE43" i="1"/>
  <c r="CE37" i="1"/>
  <c r="CE38" i="1"/>
  <c r="CE39" i="1"/>
  <c r="CE33" i="1"/>
  <c r="CE23" i="1"/>
  <c r="CE24" i="1"/>
  <c r="CE157" i="1"/>
  <c r="CE76" i="1"/>
  <c r="CE75" i="1"/>
  <c r="CE71" i="1"/>
  <c r="CE44" i="1"/>
  <c r="CE35" i="1"/>
  <c r="CE36" i="1"/>
  <c r="CE40" i="1"/>
  <c r="CE41" i="1"/>
  <c r="CE34" i="1"/>
  <c r="CE31" i="1"/>
  <c r="CE32" i="1"/>
  <c r="CE30" i="1"/>
  <c r="CE29" i="1"/>
  <c r="CE27" i="1"/>
  <c r="CE28" i="1"/>
  <c r="CE25" i="1"/>
  <c r="CE26" i="1"/>
  <c r="CE19" i="1"/>
  <c r="CE20" i="1"/>
  <c r="CE21" i="1"/>
  <c r="CE22" i="1"/>
  <c r="CE18" i="1"/>
  <c r="CE15" i="1"/>
  <c r="CE16" i="1"/>
  <c r="CE17" i="1"/>
  <c r="CE13" i="1"/>
  <c r="CE14" i="1"/>
  <c r="CE10" i="1"/>
  <c r="CE11" i="1"/>
  <c r="CE12" i="1"/>
  <c r="CE9" i="1"/>
  <c r="CE2" i="1"/>
  <c r="CE3" i="1"/>
  <c r="CE4" i="1"/>
  <c r="CE5" i="1"/>
  <c r="CE6" i="1"/>
  <c r="CE7" i="1"/>
  <c r="CE8" i="1"/>
  <c r="CD192" i="1"/>
  <c r="CD190" i="1"/>
  <c r="CD191" i="1"/>
  <c r="CD189" i="1"/>
  <c r="CD188" i="1"/>
  <c r="CD186" i="1"/>
  <c r="CD181" i="1"/>
  <c r="CD182" i="1"/>
  <c r="CD180" i="1"/>
  <c r="CD178" i="1"/>
  <c r="CD179" i="1"/>
  <c r="CD174" i="1"/>
  <c r="CD175" i="1"/>
  <c r="CD176" i="1"/>
  <c r="CD177" i="1"/>
  <c r="CD172" i="1"/>
  <c r="CD170" i="1"/>
  <c r="CD165" i="1"/>
  <c r="CD166" i="1"/>
  <c r="CD161" i="1"/>
  <c r="CD162" i="1"/>
  <c r="CD158" i="1"/>
  <c r="CD155" i="1"/>
  <c r="CD156" i="1"/>
  <c r="CD154" i="1"/>
  <c r="CD144" i="1"/>
  <c r="CD145" i="1"/>
  <c r="CD140" i="1"/>
  <c r="CD141" i="1"/>
  <c r="CD142" i="1"/>
  <c r="CD133" i="1"/>
  <c r="CD134" i="1"/>
  <c r="CD135" i="1"/>
  <c r="CD124" i="1"/>
  <c r="CD117" i="1"/>
  <c r="CD118" i="1"/>
  <c r="CD119" i="1"/>
  <c r="CD120" i="1"/>
  <c r="CD111" i="1"/>
  <c r="CD112" i="1"/>
  <c r="CD113" i="1"/>
  <c r="CD106" i="1"/>
  <c r="CD107" i="1"/>
  <c r="CD108" i="1"/>
  <c r="CD109" i="1"/>
  <c r="CD95" i="1"/>
  <c r="CD96" i="1"/>
  <c r="CD97" i="1"/>
  <c r="CD98" i="1"/>
  <c r="CD99" i="1"/>
  <c r="CD100" i="1"/>
  <c r="CD87" i="1"/>
  <c r="CD85" i="1"/>
  <c r="CD83" i="1"/>
  <c r="CD73" i="1"/>
  <c r="CD187" i="1"/>
  <c r="CD185" i="1"/>
  <c r="CD183" i="1"/>
  <c r="CD173" i="1"/>
  <c r="CD167" i="1"/>
  <c r="CD168" i="1"/>
  <c r="CD169" i="1"/>
  <c r="CD163" i="1"/>
  <c r="CD164" i="1"/>
  <c r="CD159" i="1"/>
  <c r="CD153" i="1"/>
  <c r="CD149" i="1"/>
  <c r="CD150" i="1"/>
  <c r="CD151" i="1"/>
  <c r="CD146" i="1"/>
  <c r="CD147" i="1"/>
  <c r="CD136" i="1"/>
  <c r="CD137" i="1"/>
  <c r="CD138" i="1"/>
  <c r="CD139" i="1"/>
  <c r="CD131" i="1"/>
  <c r="CD132" i="1"/>
  <c r="CD128" i="1"/>
  <c r="CD129" i="1"/>
  <c r="CD130" i="1"/>
  <c r="CD123" i="1"/>
  <c r="CD125" i="1"/>
  <c r="CD126" i="1"/>
  <c r="CD121" i="1"/>
  <c r="CD122" i="1"/>
  <c r="CD114" i="1"/>
  <c r="CD115" i="1"/>
  <c r="CD116" i="1"/>
  <c r="CD110" i="1"/>
  <c r="CD105" i="1"/>
  <c r="CD104" i="1"/>
  <c r="CD101" i="1"/>
  <c r="CD102" i="1"/>
  <c r="CD103" i="1"/>
  <c r="CD94" i="1"/>
  <c r="CD90" i="1"/>
  <c r="CD91" i="1"/>
  <c r="CD92" i="1"/>
  <c r="CD93" i="1"/>
  <c r="CD88" i="1"/>
  <c r="CD89" i="1"/>
  <c r="CD84" i="1"/>
  <c r="CD86" i="1"/>
  <c r="CD82" i="1"/>
  <c r="CD80" i="1"/>
  <c r="CD81" i="1"/>
  <c r="CD79" i="1"/>
  <c r="CD72" i="1"/>
  <c r="CD66" i="1"/>
  <c r="CD67" i="1"/>
  <c r="CD68" i="1"/>
  <c r="CD63" i="1"/>
  <c r="CD60" i="1"/>
  <c r="CD57" i="1"/>
  <c r="CD59" i="1"/>
  <c r="CD56" i="1"/>
  <c r="CD49" i="1"/>
  <c r="CD50" i="1"/>
  <c r="CD48" i="1"/>
  <c r="CD46" i="1"/>
  <c r="CD184" i="1"/>
  <c r="CD171" i="1"/>
  <c r="CD160" i="1"/>
  <c r="CD152" i="1"/>
  <c r="CD148" i="1"/>
  <c r="CD143" i="1"/>
  <c r="CD127" i="1"/>
  <c r="CD77" i="1"/>
  <c r="CD78" i="1"/>
  <c r="CD74" i="1"/>
  <c r="CD70" i="1"/>
  <c r="CD64" i="1"/>
  <c r="CD65" i="1"/>
  <c r="CD69" i="1"/>
  <c r="CD62" i="1"/>
  <c r="CD61" i="1"/>
  <c r="CD58" i="1"/>
  <c r="CD54" i="1"/>
  <c r="CD55" i="1"/>
  <c r="CD53" i="1"/>
  <c r="CD51" i="1"/>
  <c r="CD52" i="1"/>
  <c r="CD45" i="1"/>
  <c r="CD47" i="1"/>
  <c r="CD42" i="1"/>
  <c r="CD43" i="1"/>
  <c r="CD37" i="1"/>
  <c r="CD38" i="1"/>
  <c r="CD39" i="1"/>
  <c r="CD33" i="1"/>
  <c r="CD23" i="1"/>
  <c r="CD24" i="1"/>
  <c r="CD157" i="1"/>
  <c r="CD76" i="1"/>
  <c r="CD75" i="1"/>
  <c r="CD71" i="1"/>
  <c r="CD44" i="1"/>
  <c r="CD35" i="1"/>
  <c r="CD36" i="1"/>
  <c r="CD40" i="1"/>
  <c r="CD41" i="1"/>
  <c r="CD34" i="1"/>
  <c r="CD31" i="1"/>
  <c r="CD32" i="1"/>
  <c r="CD30" i="1"/>
  <c r="CD29" i="1"/>
  <c r="CD27" i="1"/>
  <c r="CD28" i="1"/>
  <c r="CD25" i="1"/>
  <c r="CD26" i="1"/>
  <c r="CD19" i="1"/>
  <c r="CD20" i="1"/>
  <c r="CD21" i="1"/>
  <c r="CD22" i="1"/>
  <c r="CD18" i="1"/>
  <c r="CD15" i="1"/>
  <c r="CD16" i="1"/>
  <c r="CD17" i="1"/>
  <c r="CD13" i="1"/>
  <c r="CD14" i="1"/>
  <c r="CD10" i="1"/>
  <c r="CD11" i="1"/>
  <c r="CD12" i="1"/>
  <c r="CD9" i="1"/>
  <c r="CD2" i="1"/>
  <c r="CD3" i="1"/>
  <c r="CD4" i="1"/>
  <c r="CD5" i="1"/>
  <c r="CD6" i="1"/>
  <c r="CD7" i="1"/>
  <c r="CD8" i="1"/>
  <c r="CC192" i="1"/>
  <c r="CC190" i="1"/>
  <c r="CC191" i="1"/>
  <c r="CC189" i="1"/>
  <c r="CC188" i="1"/>
  <c r="CC186" i="1"/>
  <c r="CC181" i="1"/>
  <c r="CC182" i="1"/>
  <c r="CC180" i="1"/>
  <c r="CC178" i="1"/>
  <c r="CC179" i="1"/>
  <c r="CC174" i="1"/>
  <c r="CC175" i="1"/>
  <c r="CC176" i="1"/>
  <c r="CC177" i="1"/>
  <c r="CC172" i="1"/>
  <c r="CC170" i="1"/>
  <c r="CC165" i="1"/>
  <c r="CC166" i="1"/>
  <c r="CC161" i="1"/>
  <c r="CC162" i="1"/>
  <c r="CC158" i="1"/>
  <c r="CC155" i="1"/>
  <c r="CC156" i="1"/>
  <c r="CC154" i="1"/>
  <c r="CC144" i="1"/>
  <c r="CC145" i="1"/>
  <c r="CC140" i="1"/>
  <c r="CC141" i="1"/>
  <c r="CC142" i="1"/>
  <c r="CC133" i="1"/>
  <c r="CC134" i="1"/>
  <c r="CC135" i="1"/>
  <c r="CC124" i="1"/>
  <c r="CC117" i="1"/>
  <c r="CC118" i="1"/>
  <c r="CC119" i="1"/>
  <c r="CC120" i="1"/>
  <c r="CC111" i="1"/>
  <c r="CC112" i="1"/>
  <c r="CC113" i="1"/>
  <c r="CC106" i="1"/>
  <c r="CC107" i="1"/>
  <c r="CC108" i="1"/>
  <c r="CC109" i="1"/>
  <c r="CC95" i="1"/>
  <c r="CC96" i="1"/>
  <c r="CC97" i="1"/>
  <c r="CC98" i="1"/>
  <c r="CC99" i="1"/>
  <c r="CC100" i="1"/>
  <c r="CC87" i="1"/>
  <c r="CC85" i="1"/>
  <c r="CC83" i="1"/>
  <c r="CC73" i="1"/>
  <c r="CC187" i="1"/>
  <c r="CC185" i="1"/>
  <c r="CC183" i="1"/>
  <c r="CC173" i="1"/>
  <c r="CC167" i="1"/>
  <c r="CC168" i="1"/>
  <c r="CC169" i="1"/>
  <c r="CC163" i="1"/>
  <c r="CC164" i="1"/>
  <c r="CC159" i="1"/>
  <c r="CC153" i="1"/>
  <c r="CC149" i="1"/>
  <c r="CC150" i="1"/>
  <c r="CC151" i="1"/>
  <c r="CC146" i="1"/>
  <c r="CC147" i="1"/>
  <c r="CC136" i="1"/>
  <c r="CC137" i="1"/>
  <c r="CC138" i="1"/>
  <c r="CC139" i="1"/>
  <c r="CC131" i="1"/>
  <c r="CC132" i="1"/>
  <c r="CC128" i="1"/>
  <c r="CC129" i="1"/>
  <c r="CC130" i="1"/>
  <c r="CC123" i="1"/>
  <c r="CC125" i="1"/>
  <c r="CC126" i="1"/>
  <c r="CC121" i="1"/>
  <c r="CC122" i="1"/>
  <c r="CC114" i="1"/>
  <c r="CC115" i="1"/>
  <c r="CC116" i="1"/>
  <c r="CC110" i="1"/>
  <c r="CC105" i="1"/>
  <c r="CC104" i="1"/>
  <c r="CC101" i="1"/>
  <c r="CC102" i="1"/>
  <c r="CC103" i="1"/>
  <c r="CC94" i="1"/>
  <c r="CC90" i="1"/>
  <c r="CC91" i="1"/>
  <c r="CC92" i="1"/>
  <c r="CC93" i="1"/>
  <c r="CC88" i="1"/>
  <c r="CC89" i="1"/>
  <c r="CC84" i="1"/>
  <c r="CC86" i="1"/>
  <c r="CC82" i="1"/>
  <c r="CC80" i="1"/>
  <c r="CC81" i="1"/>
  <c r="CC79" i="1"/>
  <c r="CC72" i="1"/>
  <c r="CC66" i="1"/>
  <c r="CC67" i="1"/>
  <c r="CC68" i="1"/>
  <c r="CC63" i="1"/>
  <c r="CC60" i="1"/>
  <c r="CC57" i="1"/>
  <c r="CC59" i="1"/>
  <c r="CC56" i="1"/>
  <c r="CC49" i="1"/>
  <c r="CC50" i="1"/>
  <c r="CC48" i="1"/>
  <c r="CC46" i="1"/>
  <c r="CC184" i="1"/>
  <c r="CC171" i="1"/>
  <c r="CC160" i="1"/>
  <c r="CC152" i="1"/>
  <c r="CC148" i="1"/>
  <c r="CC143" i="1"/>
  <c r="CC127" i="1"/>
  <c r="CC77" i="1"/>
  <c r="CC78" i="1"/>
  <c r="CC74" i="1"/>
  <c r="CC70" i="1"/>
  <c r="CC64" i="1"/>
  <c r="CC65" i="1"/>
  <c r="CC69" i="1"/>
  <c r="CC62" i="1"/>
  <c r="CC61" i="1"/>
  <c r="CC58" i="1"/>
  <c r="CC54" i="1"/>
  <c r="CC55" i="1"/>
  <c r="CC53" i="1"/>
  <c r="CC51" i="1"/>
  <c r="CC52" i="1"/>
  <c r="CC45" i="1"/>
  <c r="CC47" i="1"/>
  <c r="CC42" i="1"/>
  <c r="CC43" i="1"/>
  <c r="CC37" i="1"/>
  <c r="CC38" i="1"/>
  <c r="CC39" i="1"/>
  <c r="CC33" i="1"/>
  <c r="CC23" i="1"/>
  <c r="CC24" i="1"/>
  <c r="CC157" i="1"/>
  <c r="CC76" i="1"/>
  <c r="CC75" i="1"/>
  <c r="CC71" i="1"/>
  <c r="CC44" i="1"/>
  <c r="CC35" i="1"/>
  <c r="CC36" i="1"/>
  <c r="CC40" i="1"/>
  <c r="CC41" i="1"/>
  <c r="CC34" i="1"/>
  <c r="CC31" i="1"/>
  <c r="CC32" i="1"/>
  <c r="CC30" i="1"/>
  <c r="CC29" i="1"/>
  <c r="CC27" i="1"/>
  <c r="CC28" i="1"/>
  <c r="CC25" i="1"/>
  <c r="CC26" i="1"/>
  <c r="CC19" i="1"/>
  <c r="CC20" i="1"/>
  <c r="CC21" i="1"/>
  <c r="CC22" i="1"/>
  <c r="CC18" i="1"/>
  <c r="CC15" i="1"/>
  <c r="CC16" i="1"/>
  <c r="CC17" i="1"/>
  <c r="CC13" i="1"/>
  <c r="CC14" i="1"/>
  <c r="CC10" i="1"/>
  <c r="CC11" i="1"/>
  <c r="CC12" i="1"/>
  <c r="CC9" i="1"/>
  <c r="CC2" i="1"/>
  <c r="CC3" i="1"/>
  <c r="CC4" i="1"/>
  <c r="CC5" i="1"/>
  <c r="CC6" i="1"/>
  <c r="CC7" i="1"/>
  <c r="CC8" i="1"/>
  <c r="CB192" i="1"/>
  <c r="CB190" i="1"/>
  <c r="CB191" i="1"/>
  <c r="CB189" i="1"/>
  <c r="CB188" i="1"/>
  <c r="CB186" i="1"/>
  <c r="CB181" i="1"/>
  <c r="CB182" i="1"/>
  <c r="CB180" i="1"/>
  <c r="CB178" i="1"/>
  <c r="CB179" i="1"/>
  <c r="CB174" i="1"/>
  <c r="CB175" i="1"/>
  <c r="CB176" i="1"/>
  <c r="CB177" i="1"/>
  <c r="CB172" i="1"/>
  <c r="CB170" i="1"/>
  <c r="CB165" i="1"/>
  <c r="CB166" i="1"/>
  <c r="CB161" i="1"/>
  <c r="CB162" i="1"/>
  <c r="CB158" i="1"/>
  <c r="CB155" i="1"/>
  <c r="CB156" i="1"/>
  <c r="CB154" i="1"/>
  <c r="CB144" i="1"/>
  <c r="CB145" i="1"/>
  <c r="CB140" i="1"/>
  <c r="CB141" i="1"/>
  <c r="CB142" i="1"/>
  <c r="CB133" i="1"/>
  <c r="CB134" i="1"/>
  <c r="CB135" i="1"/>
  <c r="CB124" i="1"/>
  <c r="CB117" i="1"/>
  <c r="CB118" i="1"/>
  <c r="CB119" i="1"/>
  <c r="CB120" i="1"/>
  <c r="CB111" i="1"/>
  <c r="CB112" i="1"/>
  <c r="CB113" i="1"/>
  <c r="CB106" i="1"/>
  <c r="CB107" i="1"/>
  <c r="CB108" i="1"/>
  <c r="CB109" i="1"/>
  <c r="CB95" i="1"/>
  <c r="CB96" i="1"/>
  <c r="CB97" i="1"/>
  <c r="CB98" i="1"/>
  <c r="CB99" i="1"/>
  <c r="CB100" i="1"/>
  <c r="CB87" i="1"/>
  <c r="CB85" i="1"/>
  <c r="CB83" i="1"/>
  <c r="CB73" i="1"/>
  <c r="CB187" i="1"/>
  <c r="CB185" i="1"/>
  <c r="CB183" i="1"/>
  <c r="CB173" i="1"/>
  <c r="CB167" i="1"/>
  <c r="CB168" i="1"/>
  <c r="CB169" i="1"/>
  <c r="CB163" i="1"/>
  <c r="CB164" i="1"/>
  <c r="CB159" i="1"/>
  <c r="CB153" i="1"/>
  <c r="CB149" i="1"/>
  <c r="CB150" i="1"/>
  <c r="CB151" i="1"/>
  <c r="CB146" i="1"/>
  <c r="CB147" i="1"/>
  <c r="CB136" i="1"/>
  <c r="CB137" i="1"/>
  <c r="CB138" i="1"/>
  <c r="CB139" i="1"/>
  <c r="CB131" i="1"/>
  <c r="CB132" i="1"/>
  <c r="CB128" i="1"/>
  <c r="CB129" i="1"/>
  <c r="CB130" i="1"/>
  <c r="CB123" i="1"/>
  <c r="CB125" i="1"/>
  <c r="CB126" i="1"/>
  <c r="CB121" i="1"/>
  <c r="CB122" i="1"/>
  <c r="CB114" i="1"/>
  <c r="CB115" i="1"/>
  <c r="CB116" i="1"/>
  <c r="CB110" i="1"/>
  <c r="CB105" i="1"/>
  <c r="CB104" i="1"/>
  <c r="CB101" i="1"/>
  <c r="CB102" i="1"/>
  <c r="CB103" i="1"/>
  <c r="CB94" i="1"/>
  <c r="CB90" i="1"/>
  <c r="CB91" i="1"/>
  <c r="CB92" i="1"/>
  <c r="CB93" i="1"/>
  <c r="CB88" i="1"/>
  <c r="CB89" i="1"/>
  <c r="CB84" i="1"/>
  <c r="CB86" i="1"/>
  <c r="CB82" i="1"/>
  <c r="CB80" i="1"/>
  <c r="CB81" i="1"/>
  <c r="CB79" i="1"/>
  <c r="CB72" i="1"/>
  <c r="CB66" i="1"/>
  <c r="CB67" i="1"/>
  <c r="CB68" i="1"/>
  <c r="CB63" i="1"/>
  <c r="CB60" i="1"/>
  <c r="CB57" i="1"/>
  <c r="CB59" i="1"/>
  <c r="CB56" i="1"/>
  <c r="CB49" i="1"/>
  <c r="CB50" i="1"/>
  <c r="CB48" i="1"/>
  <c r="CB46" i="1"/>
  <c r="CB184" i="1"/>
  <c r="CB171" i="1"/>
  <c r="CB160" i="1"/>
  <c r="CB152" i="1"/>
  <c r="CB148" i="1"/>
  <c r="CB143" i="1"/>
  <c r="CB127" i="1"/>
  <c r="CB77" i="1"/>
  <c r="CB78" i="1"/>
  <c r="CB74" i="1"/>
  <c r="CB70" i="1"/>
  <c r="CB64" i="1"/>
  <c r="CB65" i="1"/>
  <c r="CB69" i="1"/>
  <c r="CB62" i="1"/>
  <c r="CB61" i="1"/>
  <c r="CB58" i="1"/>
  <c r="CB54" i="1"/>
  <c r="CB55" i="1"/>
  <c r="CB53" i="1"/>
  <c r="CB51" i="1"/>
  <c r="CB52" i="1"/>
  <c r="CB45" i="1"/>
  <c r="CB47" i="1"/>
  <c r="CB42" i="1"/>
  <c r="CB43" i="1"/>
  <c r="CB37" i="1"/>
  <c r="CB38" i="1"/>
  <c r="CB39" i="1"/>
  <c r="CB33" i="1"/>
  <c r="CB23" i="1"/>
  <c r="CB24" i="1"/>
  <c r="CB157" i="1"/>
  <c r="CB76" i="1"/>
  <c r="CB75" i="1"/>
  <c r="CB71" i="1"/>
  <c r="CB44" i="1"/>
  <c r="CB35" i="1"/>
  <c r="CB36" i="1"/>
  <c r="CB40" i="1"/>
  <c r="CB41" i="1"/>
  <c r="CB34" i="1"/>
  <c r="CB31" i="1"/>
  <c r="CB32" i="1"/>
  <c r="CB30" i="1"/>
  <c r="CB29" i="1"/>
  <c r="CB27" i="1"/>
  <c r="CB28" i="1"/>
  <c r="CB25" i="1"/>
  <c r="CB26" i="1"/>
  <c r="CB19" i="1"/>
  <c r="CB20" i="1"/>
  <c r="CB21" i="1"/>
  <c r="CB22" i="1"/>
  <c r="CB18" i="1"/>
  <c r="CB15" i="1"/>
  <c r="CB16" i="1"/>
  <c r="CB17" i="1"/>
  <c r="CB13" i="1"/>
  <c r="CB14" i="1"/>
  <c r="CB10" i="1"/>
  <c r="CB11" i="1"/>
  <c r="CB12" i="1"/>
  <c r="CB9" i="1"/>
  <c r="CB2" i="1"/>
  <c r="CB3" i="1"/>
  <c r="CB4" i="1"/>
  <c r="CB5" i="1"/>
  <c r="CB6" i="1"/>
  <c r="CB7" i="1"/>
  <c r="CB8" i="1"/>
  <c r="CA192" i="1"/>
  <c r="CA190" i="1"/>
  <c r="CA191" i="1"/>
  <c r="CA189" i="1"/>
  <c r="CA188" i="1"/>
  <c r="CA186" i="1"/>
  <c r="CA181" i="1"/>
  <c r="CA182" i="1"/>
  <c r="CA180" i="1"/>
  <c r="CA178" i="1"/>
  <c r="CA179" i="1"/>
  <c r="CA174" i="1"/>
  <c r="CA175" i="1"/>
  <c r="CA176" i="1"/>
  <c r="CA177" i="1"/>
  <c r="CA172" i="1"/>
  <c r="CA170" i="1"/>
  <c r="CA165" i="1"/>
  <c r="CA166" i="1"/>
  <c r="CA161" i="1"/>
  <c r="CA162" i="1"/>
  <c r="CA158" i="1"/>
  <c r="CA155" i="1"/>
  <c r="CA156" i="1"/>
  <c r="CA154" i="1"/>
  <c r="CA144" i="1"/>
  <c r="CA145" i="1"/>
  <c r="CA140" i="1"/>
  <c r="CA141" i="1"/>
  <c r="CA142" i="1"/>
  <c r="CA133" i="1"/>
  <c r="CA134" i="1"/>
  <c r="CA135" i="1"/>
  <c r="CA124" i="1"/>
  <c r="CA117" i="1"/>
  <c r="CA118" i="1"/>
  <c r="CA119" i="1"/>
  <c r="CA120" i="1"/>
  <c r="CA111" i="1"/>
  <c r="CA112" i="1"/>
  <c r="CA113" i="1"/>
  <c r="CA106" i="1"/>
  <c r="CA107" i="1"/>
  <c r="CA108" i="1"/>
  <c r="CA109" i="1"/>
  <c r="CA95" i="1"/>
  <c r="CA96" i="1"/>
  <c r="CA97" i="1"/>
  <c r="CA98" i="1"/>
  <c r="CA99" i="1"/>
  <c r="CA100" i="1"/>
  <c r="CA87" i="1"/>
  <c r="CA85" i="1"/>
  <c r="CA83" i="1"/>
  <c r="CA73" i="1"/>
  <c r="CA187" i="1"/>
  <c r="CA185" i="1"/>
  <c r="CA183" i="1"/>
  <c r="CA173" i="1"/>
  <c r="CA167" i="1"/>
  <c r="CA168" i="1"/>
  <c r="CA169" i="1"/>
  <c r="CA163" i="1"/>
  <c r="CA164" i="1"/>
  <c r="CA159" i="1"/>
  <c r="CA153" i="1"/>
  <c r="CA149" i="1"/>
  <c r="CA150" i="1"/>
  <c r="CA151" i="1"/>
  <c r="CA146" i="1"/>
  <c r="CA147" i="1"/>
  <c r="CA136" i="1"/>
  <c r="CA137" i="1"/>
  <c r="CA138" i="1"/>
  <c r="CA139" i="1"/>
  <c r="CA131" i="1"/>
  <c r="CA132" i="1"/>
  <c r="CA128" i="1"/>
  <c r="CA129" i="1"/>
  <c r="CA130" i="1"/>
  <c r="CA123" i="1"/>
  <c r="CA125" i="1"/>
  <c r="CA126" i="1"/>
  <c r="CA121" i="1"/>
  <c r="CA122" i="1"/>
  <c r="CA114" i="1"/>
  <c r="CA115" i="1"/>
  <c r="CA116" i="1"/>
  <c r="CA110" i="1"/>
  <c r="CA105" i="1"/>
  <c r="CA104" i="1"/>
  <c r="CA101" i="1"/>
  <c r="CA102" i="1"/>
  <c r="CA103" i="1"/>
  <c r="CA94" i="1"/>
  <c r="CA90" i="1"/>
  <c r="CA91" i="1"/>
  <c r="CA92" i="1"/>
  <c r="CA93" i="1"/>
  <c r="CA88" i="1"/>
  <c r="CA89" i="1"/>
  <c r="CA84" i="1"/>
  <c r="CA86" i="1"/>
  <c r="CA82" i="1"/>
  <c r="CA80" i="1"/>
  <c r="CA81" i="1"/>
  <c r="CA79" i="1"/>
  <c r="CA72" i="1"/>
  <c r="CA66" i="1"/>
  <c r="CA67" i="1"/>
  <c r="CA68" i="1"/>
  <c r="CA63" i="1"/>
  <c r="CA60" i="1"/>
  <c r="CA57" i="1"/>
  <c r="CA59" i="1"/>
  <c r="CA56" i="1"/>
  <c r="CA49" i="1"/>
  <c r="CA50" i="1"/>
  <c r="CA48" i="1"/>
  <c r="CA46" i="1"/>
  <c r="CA184" i="1"/>
  <c r="CA171" i="1"/>
  <c r="CA160" i="1"/>
  <c r="CA152" i="1"/>
  <c r="CA148" i="1"/>
  <c r="CA143" i="1"/>
  <c r="CA127" i="1"/>
  <c r="CA77" i="1"/>
  <c r="CA78" i="1"/>
  <c r="CA74" i="1"/>
  <c r="CA70" i="1"/>
  <c r="CA64" i="1"/>
  <c r="CA65" i="1"/>
  <c r="CA69" i="1"/>
  <c r="CA62" i="1"/>
  <c r="CA61" i="1"/>
  <c r="CA58" i="1"/>
  <c r="CA54" i="1"/>
  <c r="CA55" i="1"/>
  <c r="CA53" i="1"/>
  <c r="CA51" i="1"/>
  <c r="CA52" i="1"/>
  <c r="CA45" i="1"/>
  <c r="CA47" i="1"/>
  <c r="CA42" i="1"/>
  <c r="CA43" i="1"/>
  <c r="CA37" i="1"/>
  <c r="CA38" i="1"/>
  <c r="CA39" i="1"/>
  <c r="CA33" i="1"/>
  <c r="CA23" i="1"/>
  <c r="CA24" i="1"/>
  <c r="CA157" i="1"/>
  <c r="CA76" i="1"/>
  <c r="CA75" i="1"/>
  <c r="CA71" i="1"/>
  <c r="CA44" i="1"/>
  <c r="CA35" i="1"/>
  <c r="CA36" i="1"/>
  <c r="CA40" i="1"/>
  <c r="CA41" i="1"/>
  <c r="CA34" i="1"/>
  <c r="CA31" i="1"/>
  <c r="CA32" i="1"/>
  <c r="CA30" i="1"/>
  <c r="CA29" i="1"/>
  <c r="CA27" i="1"/>
  <c r="CA28" i="1"/>
  <c r="CA25" i="1"/>
  <c r="CA26" i="1"/>
  <c r="CA19" i="1"/>
  <c r="CA20" i="1"/>
  <c r="CA21" i="1"/>
  <c r="CA22" i="1"/>
  <c r="CA18" i="1"/>
  <c r="CA15" i="1"/>
  <c r="CA16" i="1"/>
  <c r="CA17" i="1"/>
  <c r="CA13" i="1"/>
  <c r="CA14" i="1"/>
  <c r="CA10" i="1"/>
  <c r="CA11" i="1"/>
  <c r="CA12" i="1"/>
  <c r="CA9" i="1"/>
  <c r="CA2" i="1"/>
  <c r="CA3" i="1"/>
  <c r="CA4" i="1"/>
  <c r="CA5" i="1"/>
  <c r="CA6" i="1"/>
  <c r="CA7" i="1"/>
  <c r="CA8" i="1"/>
  <c r="BZ192" i="1"/>
  <c r="BZ190" i="1"/>
  <c r="BZ191" i="1"/>
  <c r="BZ189" i="1"/>
  <c r="BZ188" i="1"/>
  <c r="BZ186" i="1"/>
  <c r="BZ181" i="1"/>
  <c r="BZ182" i="1"/>
  <c r="BZ180" i="1"/>
  <c r="BZ178" i="1"/>
  <c r="BZ179" i="1"/>
  <c r="BZ174" i="1"/>
  <c r="BZ175" i="1"/>
  <c r="BZ176" i="1"/>
  <c r="BZ177" i="1"/>
  <c r="BZ172" i="1"/>
  <c r="BZ170" i="1"/>
  <c r="BZ165" i="1"/>
  <c r="BZ166" i="1"/>
  <c r="BZ161" i="1"/>
  <c r="BZ162" i="1"/>
  <c r="BZ158" i="1"/>
  <c r="BZ155" i="1"/>
  <c r="BZ156" i="1"/>
  <c r="BZ154" i="1"/>
  <c r="BZ144" i="1"/>
  <c r="BZ145" i="1"/>
  <c r="BZ140" i="1"/>
  <c r="BZ141" i="1"/>
  <c r="BZ142" i="1"/>
  <c r="BZ133" i="1"/>
  <c r="BZ134" i="1"/>
  <c r="BZ135" i="1"/>
  <c r="BZ124" i="1"/>
  <c r="BZ117" i="1"/>
  <c r="BZ118" i="1"/>
  <c r="BZ119" i="1"/>
  <c r="BZ120" i="1"/>
  <c r="BZ111" i="1"/>
  <c r="BZ112" i="1"/>
  <c r="BZ113" i="1"/>
  <c r="BZ106" i="1"/>
  <c r="BZ107" i="1"/>
  <c r="BZ108" i="1"/>
  <c r="BZ109" i="1"/>
  <c r="BZ95" i="1"/>
  <c r="BZ96" i="1"/>
  <c r="BZ97" i="1"/>
  <c r="BZ98" i="1"/>
  <c r="BZ99" i="1"/>
  <c r="BZ100" i="1"/>
  <c r="BZ87" i="1"/>
  <c r="BZ85" i="1"/>
  <c r="BZ83" i="1"/>
  <c r="BZ73" i="1"/>
  <c r="BZ187" i="1"/>
  <c r="BZ185" i="1"/>
  <c r="BZ183" i="1"/>
  <c r="BZ173" i="1"/>
  <c r="BZ167" i="1"/>
  <c r="BZ168" i="1"/>
  <c r="BZ169" i="1"/>
  <c r="BZ163" i="1"/>
  <c r="BZ164" i="1"/>
  <c r="BZ159" i="1"/>
  <c r="BZ153" i="1"/>
  <c r="BZ149" i="1"/>
  <c r="BZ150" i="1"/>
  <c r="BZ151" i="1"/>
  <c r="BZ146" i="1"/>
  <c r="BZ147" i="1"/>
  <c r="BZ136" i="1"/>
  <c r="BZ137" i="1"/>
  <c r="BZ138" i="1"/>
  <c r="BZ139" i="1"/>
  <c r="BZ131" i="1"/>
  <c r="BZ132" i="1"/>
  <c r="BZ128" i="1"/>
  <c r="BZ129" i="1"/>
  <c r="BZ130" i="1"/>
  <c r="BZ123" i="1"/>
  <c r="BZ125" i="1"/>
  <c r="BZ126" i="1"/>
  <c r="BZ121" i="1"/>
  <c r="BZ122" i="1"/>
  <c r="BZ114" i="1"/>
  <c r="BZ115" i="1"/>
  <c r="BZ116" i="1"/>
  <c r="BZ110" i="1"/>
  <c r="BZ105" i="1"/>
  <c r="BZ104" i="1"/>
  <c r="BZ101" i="1"/>
  <c r="BZ102" i="1"/>
  <c r="BZ103" i="1"/>
  <c r="BZ94" i="1"/>
  <c r="BZ90" i="1"/>
  <c r="BZ91" i="1"/>
  <c r="BZ92" i="1"/>
  <c r="BZ93" i="1"/>
  <c r="BZ88" i="1"/>
  <c r="BZ89" i="1"/>
  <c r="BZ84" i="1"/>
  <c r="BZ86" i="1"/>
  <c r="BZ82" i="1"/>
  <c r="BZ80" i="1"/>
  <c r="BZ81" i="1"/>
  <c r="BZ79" i="1"/>
  <c r="BZ72" i="1"/>
  <c r="BZ66" i="1"/>
  <c r="BZ67" i="1"/>
  <c r="BZ68" i="1"/>
  <c r="BZ63" i="1"/>
  <c r="BZ60" i="1"/>
  <c r="BZ57" i="1"/>
  <c r="BZ59" i="1"/>
  <c r="BZ56" i="1"/>
  <c r="BZ49" i="1"/>
  <c r="BZ50" i="1"/>
  <c r="BZ48" i="1"/>
  <c r="BZ46" i="1"/>
  <c r="BZ184" i="1"/>
  <c r="BZ171" i="1"/>
  <c r="BZ160" i="1"/>
  <c r="BZ152" i="1"/>
  <c r="BZ148" i="1"/>
  <c r="BZ143" i="1"/>
  <c r="BZ127" i="1"/>
  <c r="BZ77" i="1"/>
  <c r="BZ78" i="1"/>
  <c r="BZ74" i="1"/>
  <c r="BZ70" i="1"/>
  <c r="BZ64" i="1"/>
  <c r="BZ65" i="1"/>
  <c r="BZ69" i="1"/>
  <c r="BZ62" i="1"/>
  <c r="BZ61" i="1"/>
  <c r="BZ58" i="1"/>
  <c r="BZ54" i="1"/>
  <c r="BZ55" i="1"/>
  <c r="BZ53" i="1"/>
  <c r="BZ51" i="1"/>
  <c r="BZ52" i="1"/>
  <c r="BZ45" i="1"/>
  <c r="BZ47" i="1"/>
  <c r="BZ42" i="1"/>
  <c r="BZ43" i="1"/>
  <c r="BZ37" i="1"/>
  <c r="BZ38" i="1"/>
  <c r="BZ39" i="1"/>
  <c r="BZ33" i="1"/>
  <c r="BZ23" i="1"/>
  <c r="BZ24" i="1"/>
  <c r="BZ157" i="1"/>
  <c r="BZ76" i="1"/>
  <c r="BZ75" i="1"/>
  <c r="BZ71" i="1"/>
  <c r="BZ44" i="1"/>
  <c r="BZ35" i="1"/>
  <c r="BZ36" i="1"/>
  <c r="BZ40" i="1"/>
  <c r="BZ41" i="1"/>
  <c r="BZ34" i="1"/>
  <c r="BZ31" i="1"/>
  <c r="BZ32" i="1"/>
  <c r="BZ30" i="1"/>
  <c r="BZ29" i="1"/>
  <c r="BZ27" i="1"/>
  <c r="BZ28" i="1"/>
  <c r="BZ25" i="1"/>
  <c r="BZ26" i="1"/>
  <c r="BZ19" i="1"/>
  <c r="BZ20" i="1"/>
  <c r="BZ21" i="1"/>
  <c r="BZ22" i="1"/>
  <c r="BZ18" i="1"/>
  <c r="BZ15" i="1"/>
  <c r="BZ16" i="1"/>
  <c r="BZ17" i="1"/>
  <c r="BZ13" i="1"/>
  <c r="BZ14" i="1"/>
  <c r="BZ10" i="1"/>
  <c r="BZ11" i="1"/>
  <c r="BZ12" i="1"/>
  <c r="BZ9" i="1"/>
  <c r="BZ2" i="1"/>
  <c r="BZ3" i="1"/>
  <c r="BZ4" i="1"/>
  <c r="BZ5" i="1"/>
  <c r="BZ6" i="1"/>
  <c r="BZ7" i="1"/>
  <c r="BZ8" i="1"/>
  <c r="BY192" i="1"/>
  <c r="BY190" i="1"/>
  <c r="BY191" i="1"/>
  <c r="BY189" i="1"/>
  <c r="BY188" i="1"/>
  <c r="BY186" i="1"/>
  <c r="BY181" i="1"/>
  <c r="BY182" i="1"/>
  <c r="BY180" i="1"/>
  <c r="BY178" i="1"/>
  <c r="BY179" i="1"/>
  <c r="BY174" i="1"/>
  <c r="BY175" i="1"/>
  <c r="BY176" i="1"/>
  <c r="BY177" i="1"/>
  <c r="BY172" i="1"/>
  <c r="BY170" i="1"/>
  <c r="BY165" i="1"/>
  <c r="BY166" i="1"/>
  <c r="BY161" i="1"/>
  <c r="BY162" i="1"/>
  <c r="BY158" i="1"/>
  <c r="BY155" i="1"/>
  <c r="BY156" i="1"/>
  <c r="BY154" i="1"/>
  <c r="BY144" i="1"/>
  <c r="BY145" i="1"/>
  <c r="BY140" i="1"/>
  <c r="BY141" i="1"/>
  <c r="BY142" i="1"/>
  <c r="BY133" i="1"/>
  <c r="BY134" i="1"/>
  <c r="BY135" i="1"/>
  <c r="BY124" i="1"/>
  <c r="BY117" i="1"/>
  <c r="BY118" i="1"/>
  <c r="BY119" i="1"/>
  <c r="BY120" i="1"/>
  <c r="BY111" i="1"/>
  <c r="BY112" i="1"/>
  <c r="BY113" i="1"/>
  <c r="BY106" i="1"/>
  <c r="BY107" i="1"/>
  <c r="BY108" i="1"/>
  <c r="BY109" i="1"/>
  <c r="BY95" i="1"/>
  <c r="BY96" i="1"/>
  <c r="BY97" i="1"/>
  <c r="BY98" i="1"/>
  <c r="BY99" i="1"/>
  <c r="BY100" i="1"/>
  <c r="BY87" i="1"/>
  <c r="BY85" i="1"/>
  <c r="BY83" i="1"/>
  <c r="BY73" i="1"/>
  <c r="BY187" i="1"/>
  <c r="BY185" i="1"/>
  <c r="BY183" i="1"/>
  <c r="BY173" i="1"/>
  <c r="BY167" i="1"/>
  <c r="BY168" i="1"/>
  <c r="BY169" i="1"/>
  <c r="BY163" i="1"/>
  <c r="BY164" i="1"/>
  <c r="BY159" i="1"/>
  <c r="BY153" i="1"/>
  <c r="BY149" i="1"/>
  <c r="BY150" i="1"/>
  <c r="BY151" i="1"/>
  <c r="BY146" i="1"/>
  <c r="BY147" i="1"/>
  <c r="BY136" i="1"/>
  <c r="BY137" i="1"/>
  <c r="BY138" i="1"/>
  <c r="BY139" i="1"/>
  <c r="BY131" i="1"/>
  <c r="BY132" i="1"/>
  <c r="BY128" i="1"/>
  <c r="BY129" i="1"/>
  <c r="BY130" i="1"/>
  <c r="BY123" i="1"/>
  <c r="BY125" i="1"/>
  <c r="BY126" i="1"/>
  <c r="BY121" i="1"/>
  <c r="BY122" i="1"/>
  <c r="BY114" i="1"/>
  <c r="BY115" i="1"/>
  <c r="BY116" i="1"/>
  <c r="BY110" i="1"/>
  <c r="BY105" i="1"/>
  <c r="BY104" i="1"/>
  <c r="BY101" i="1"/>
  <c r="BY102" i="1"/>
  <c r="BY103" i="1"/>
  <c r="BY94" i="1"/>
  <c r="BY90" i="1"/>
  <c r="BY91" i="1"/>
  <c r="BY92" i="1"/>
  <c r="BY93" i="1"/>
  <c r="BY88" i="1"/>
  <c r="BY89" i="1"/>
  <c r="BY84" i="1"/>
  <c r="BY86" i="1"/>
  <c r="BY82" i="1"/>
  <c r="BY80" i="1"/>
  <c r="BY81" i="1"/>
  <c r="BY79" i="1"/>
  <c r="BY72" i="1"/>
  <c r="BY66" i="1"/>
  <c r="BY67" i="1"/>
  <c r="BY68" i="1"/>
  <c r="BY63" i="1"/>
  <c r="BY60" i="1"/>
  <c r="BY57" i="1"/>
  <c r="BY59" i="1"/>
  <c r="BY56" i="1"/>
  <c r="BY49" i="1"/>
  <c r="BY50" i="1"/>
  <c r="BY48" i="1"/>
  <c r="BY46" i="1"/>
  <c r="BY184" i="1"/>
  <c r="BY171" i="1"/>
  <c r="BY160" i="1"/>
  <c r="BY152" i="1"/>
  <c r="BY148" i="1"/>
  <c r="BY143" i="1"/>
  <c r="BY127" i="1"/>
  <c r="BY77" i="1"/>
  <c r="BY78" i="1"/>
  <c r="BY74" i="1"/>
  <c r="BY70" i="1"/>
  <c r="BY64" i="1"/>
  <c r="BY65" i="1"/>
  <c r="BY69" i="1"/>
  <c r="BY62" i="1"/>
  <c r="BY61" i="1"/>
  <c r="BY58" i="1"/>
  <c r="BY54" i="1"/>
  <c r="BY55" i="1"/>
  <c r="BY53" i="1"/>
  <c r="BY51" i="1"/>
  <c r="BY52" i="1"/>
  <c r="BY45" i="1"/>
  <c r="BY47" i="1"/>
  <c r="BY42" i="1"/>
  <c r="BY43" i="1"/>
  <c r="BY37" i="1"/>
  <c r="BY38" i="1"/>
  <c r="BY39" i="1"/>
  <c r="BY33" i="1"/>
  <c r="BY23" i="1"/>
  <c r="BY24" i="1"/>
  <c r="BY157" i="1"/>
  <c r="BY76" i="1"/>
  <c r="BY75" i="1"/>
  <c r="BY71" i="1"/>
  <c r="BY44" i="1"/>
  <c r="BY35" i="1"/>
  <c r="BY36" i="1"/>
  <c r="BY40" i="1"/>
  <c r="BY41" i="1"/>
  <c r="BY34" i="1"/>
  <c r="BY31" i="1"/>
  <c r="BY32" i="1"/>
  <c r="BY30" i="1"/>
  <c r="BY29" i="1"/>
  <c r="BY27" i="1"/>
  <c r="BY28" i="1"/>
  <c r="BY25" i="1"/>
  <c r="BY26" i="1"/>
  <c r="BY19" i="1"/>
  <c r="BY20" i="1"/>
  <c r="BY21" i="1"/>
  <c r="BY22" i="1"/>
  <c r="BY18" i="1"/>
  <c r="BY15" i="1"/>
  <c r="BY16" i="1"/>
  <c r="BY17" i="1"/>
  <c r="BY13" i="1"/>
  <c r="BY14" i="1"/>
  <c r="BY10" i="1"/>
  <c r="BY11" i="1"/>
  <c r="BY12" i="1"/>
  <c r="BY9" i="1"/>
  <c r="BY2" i="1"/>
  <c r="BY3" i="1"/>
  <c r="BY4" i="1"/>
  <c r="BY5" i="1"/>
  <c r="BY6" i="1"/>
  <c r="BY7" i="1"/>
  <c r="BY8" i="1"/>
  <c r="BW192" i="1"/>
  <c r="BW190" i="1"/>
  <c r="BW191" i="1"/>
  <c r="BW189" i="1"/>
  <c r="BW188" i="1"/>
  <c r="BW186" i="1"/>
  <c r="BW181" i="1"/>
  <c r="BW182" i="1"/>
  <c r="BW180" i="1"/>
  <c r="BW178" i="1"/>
  <c r="BW179" i="1"/>
  <c r="BW174" i="1"/>
  <c r="BW175" i="1"/>
  <c r="BW176" i="1"/>
  <c r="BW177" i="1"/>
  <c r="BW172" i="1"/>
  <c r="BW170" i="1"/>
  <c r="BW165" i="1"/>
  <c r="BW166" i="1"/>
  <c r="BW161" i="1"/>
  <c r="BW162" i="1"/>
  <c r="BW158" i="1"/>
  <c r="BW155" i="1"/>
  <c r="BW156" i="1"/>
  <c r="BW154" i="1"/>
  <c r="BW144" i="1"/>
  <c r="BW145" i="1"/>
  <c r="BW140" i="1"/>
  <c r="BW141" i="1"/>
  <c r="BW142" i="1"/>
  <c r="BW133" i="1"/>
  <c r="BW134" i="1"/>
  <c r="BW135" i="1"/>
  <c r="BW124" i="1"/>
  <c r="BW117" i="1"/>
  <c r="BW118" i="1"/>
  <c r="BW119" i="1"/>
  <c r="BW120" i="1"/>
  <c r="BW111" i="1"/>
  <c r="BW112" i="1"/>
  <c r="BW113" i="1"/>
  <c r="BW106" i="1"/>
  <c r="BW107" i="1"/>
  <c r="BW108" i="1"/>
  <c r="BW109" i="1"/>
  <c r="BW95" i="1"/>
  <c r="BW96" i="1"/>
  <c r="BW97" i="1"/>
  <c r="BW98" i="1"/>
  <c r="BW99" i="1"/>
  <c r="BW100" i="1"/>
  <c r="BW87" i="1"/>
  <c r="BW85" i="1"/>
  <c r="BW83" i="1"/>
  <c r="BW73" i="1"/>
  <c r="BW187" i="1"/>
  <c r="BW185" i="1"/>
  <c r="BW183" i="1"/>
  <c r="BW173" i="1"/>
  <c r="BW167" i="1"/>
  <c r="BW168" i="1"/>
  <c r="BW169" i="1"/>
  <c r="BW163" i="1"/>
  <c r="BW164" i="1"/>
  <c r="BW159" i="1"/>
  <c r="BW153" i="1"/>
  <c r="BW149" i="1"/>
  <c r="BW150" i="1"/>
  <c r="BW151" i="1"/>
  <c r="BW146" i="1"/>
  <c r="BW147" i="1"/>
  <c r="BW136" i="1"/>
  <c r="BW137" i="1"/>
  <c r="BW138" i="1"/>
  <c r="BW139" i="1"/>
  <c r="BW131" i="1"/>
  <c r="BW132" i="1"/>
  <c r="BW128" i="1"/>
  <c r="BW129" i="1"/>
  <c r="BW130" i="1"/>
  <c r="BW123" i="1"/>
  <c r="BW125" i="1"/>
  <c r="BW126" i="1"/>
  <c r="BW121" i="1"/>
  <c r="BW122" i="1"/>
  <c r="BW114" i="1"/>
  <c r="BW115" i="1"/>
  <c r="BW116" i="1"/>
  <c r="BW110" i="1"/>
  <c r="BW105" i="1"/>
  <c r="BW104" i="1"/>
  <c r="BW101" i="1"/>
  <c r="BW102" i="1"/>
  <c r="BW103" i="1"/>
  <c r="BW94" i="1"/>
  <c r="BW90" i="1"/>
  <c r="BW91" i="1"/>
  <c r="BW92" i="1"/>
  <c r="BW93" i="1"/>
  <c r="BW88" i="1"/>
  <c r="BW89" i="1"/>
  <c r="BW84" i="1"/>
  <c r="BW86" i="1"/>
  <c r="BW82" i="1"/>
  <c r="BW80" i="1"/>
  <c r="BW81" i="1"/>
  <c r="BW79" i="1"/>
  <c r="BW72" i="1"/>
  <c r="BW66" i="1"/>
  <c r="BW67" i="1"/>
  <c r="BW68" i="1"/>
  <c r="BW63" i="1"/>
  <c r="BW60" i="1"/>
  <c r="BW57" i="1"/>
  <c r="BW59" i="1"/>
  <c r="BW56" i="1"/>
  <c r="BW49" i="1"/>
  <c r="BW50" i="1"/>
  <c r="BW48" i="1"/>
  <c r="BW46" i="1"/>
  <c r="BW184" i="1"/>
  <c r="BW171" i="1"/>
  <c r="BW160" i="1"/>
  <c r="BW152" i="1"/>
  <c r="BW148" i="1"/>
  <c r="BW143" i="1"/>
  <c r="BW127" i="1"/>
  <c r="BW77" i="1"/>
  <c r="BW78" i="1"/>
  <c r="BW74" i="1"/>
  <c r="BW70" i="1"/>
  <c r="BW64" i="1"/>
  <c r="BW65" i="1"/>
  <c r="BW69" i="1"/>
  <c r="BW62" i="1"/>
  <c r="BW61" i="1"/>
  <c r="BW58" i="1"/>
  <c r="BW54" i="1"/>
  <c r="BW55" i="1"/>
  <c r="BW53" i="1"/>
  <c r="BW51" i="1"/>
  <c r="BW52" i="1"/>
  <c r="BW45" i="1"/>
  <c r="BW47" i="1"/>
  <c r="BW42" i="1"/>
  <c r="BW43" i="1"/>
  <c r="BW37" i="1"/>
  <c r="BW38" i="1"/>
  <c r="BW39" i="1"/>
  <c r="BW33" i="1"/>
  <c r="BW23" i="1"/>
  <c r="BW24" i="1"/>
  <c r="BW157" i="1"/>
  <c r="BW76" i="1"/>
  <c r="BW75" i="1"/>
  <c r="BW71" i="1"/>
  <c r="BW44" i="1"/>
  <c r="BW35" i="1"/>
  <c r="BW36" i="1"/>
  <c r="BW40" i="1"/>
  <c r="BW41" i="1"/>
  <c r="BW34" i="1"/>
  <c r="BW31" i="1"/>
  <c r="BW32" i="1"/>
  <c r="BW30" i="1"/>
  <c r="BW29" i="1"/>
  <c r="BW27" i="1"/>
  <c r="BW28" i="1"/>
  <c r="BW25" i="1"/>
  <c r="BW26" i="1"/>
  <c r="BW19" i="1"/>
  <c r="BW20" i="1"/>
  <c r="BW21" i="1"/>
  <c r="BW22" i="1"/>
  <c r="BW18" i="1"/>
  <c r="BW15" i="1"/>
  <c r="BW16" i="1"/>
  <c r="BW17" i="1"/>
  <c r="BW13" i="1"/>
  <c r="BW14" i="1"/>
  <c r="BW10" i="1"/>
  <c r="BW11" i="1"/>
  <c r="BW12" i="1"/>
  <c r="BW9" i="1"/>
  <c r="BW2" i="1"/>
  <c r="BW3" i="1"/>
  <c r="BW4" i="1"/>
  <c r="BW5" i="1"/>
  <c r="BW6" i="1"/>
  <c r="BW7" i="1"/>
  <c r="BW8" i="1"/>
  <c r="BU192" i="1"/>
  <c r="BU190" i="1"/>
  <c r="BU191" i="1"/>
  <c r="BU189" i="1"/>
  <c r="BU188" i="1"/>
  <c r="BU186" i="1"/>
  <c r="BU181" i="1"/>
  <c r="BU182" i="1"/>
  <c r="BU180" i="1"/>
  <c r="BU178" i="1"/>
  <c r="BU179" i="1"/>
  <c r="BU174" i="1"/>
  <c r="BU175" i="1"/>
  <c r="BU176" i="1"/>
  <c r="BU177" i="1"/>
  <c r="BU172" i="1"/>
  <c r="BU170" i="1"/>
  <c r="BU165" i="1"/>
  <c r="BU166" i="1"/>
  <c r="BU161" i="1"/>
  <c r="BU162" i="1"/>
  <c r="BU158" i="1"/>
  <c r="BU155" i="1"/>
  <c r="BU156" i="1"/>
  <c r="BU154" i="1"/>
  <c r="BU144" i="1"/>
  <c r="BU145" i="1"/>
  <c r="BU140" i="1"/>
  <c r="BU141" i="1"/>
  <c r="BU142" i="1"/>
  <c r="BU133" i="1"/>
  <c r="BU134" i="1"/>
  <c r="BU135" i="1"/>
  <c r="BU124" i="1"/>
  <c r="BU117" i="1"/>
  <c r="BU118" i="1"/>
  <c r="BU119" i="1"/>
  <c r="BU120" i="1"/>
  <c r="BU111" i="1"/>
  <c r="BU112" i="1"/>
  <c r="BU113" i="1"/>
  <c r="BU106" i="1"/>
  <c r="BU107" i="1"/>
  <c r="BU108" i="1"/>
  <c r="BU109" i="1"/>
  <c r="BU95" i="1"/>
  <c r="BU96" i="1"/>
  <c r="BU97" i="1"/>
  <c r="BU98" i="1"/>
  <c r="BU99" i="1"/>
  <c r="BU100" i="1"/>
  <c r="BU87" i="1"/>
  <c r="BU85" i="1"/>
  <c r="BU83" i="1"/>
  <c r="BU73" i="1"/>
  <c r="BU187" i="1"/>
  <c r="BU185" i="1"/>
  <c r="BU183" i="1"/>
  <c r="BU173" i="1"/>
  <c r="BU167" i="1"/>
  <c r="BU168" i="1"/>
  <c r="BU169" i="1"/>
  <c r="BU163" i="1"/>
  <c r="BU164" i="1"/>
  <c r="BU159" i="1"/>
  <c r="BU153" i="1"/>
  <c r="BU149" i="1"/>
  <c r="BU150" i="1"/>
  <c r="BU151" i="1"/>
  <c r="BU146" i="1"/>
  <c r="BU147" i="1"/>
  <c r="BU136" i="1"/>
  <c r="BU137" i="1"/>
  <c r="BU138" i="1"/>
  <c r="BU139" i="1"/>
  <c r="BU131" i="1"/>
  <c r="BU132" i="1"/>
  <c r="BU128" i="1"/>
  <c r="BU129" i="1"/>
  <c r="BU130" i="1"/>
  <c r="BU123" i="1"/>
  <c r="BU125" i="1"/>
  <c r="BU126" i="1"/>
  <c r="BU121" i="1"/>
  <c r="BU122" i="1"/>
  <c r="BU114" i="1"/>
  <c r="BU115" i="1"/>
  <c r="BU116" i="1"/>
  <c r="BU110" i="1"/>
  <c r="BU105" i="1"/>
  <c r="BU104" i="1"/>
  <c r="BU101" i="1"/>
  <c r="BU102" i="1"/>
  <c r="BU103" i="1"/>
  <c r="BU94" i="1"/>
  <c r="BU90" i="1"/>
  <c r="BU91" i="1"/>
  <c r="BU92" i="1"/>
  <c r="BU93" i="1"/>
  <c r="BU88" i="1"/>
  <c r="BU89" i="1"/>
  <c r="BU84" i="1"/>
  <c r="BU86" i="1"/>
  <c r="BU82" i="1"/>
  <c r="BU80" i="1"/>
  <c r="BU81" i="1"/>
  <c r="BU79" i="1"/>
  <c r="BU72" i="1"/>
  <c r="BU66" i="1"/>
  <c r="BU67" i="1"/>
  <c r="BU68" i="1"/>
  <c r="BU63" i="1"/>
  <c r="BU60" i="1"/>
  <c r="BU57" i="1"/>
  <c r="BU59" i="1"/>
  <c r="BU56" i="1"/>
  <c r="BU49" i="1"/>
  <c r="BU50" i="1"/>
  <c r="BU48" i="1"/>
  <c r="BU46" i="1"/>
  <c r="BU184" i="1"/>
  <c r="BU171" i="1"/>
  <c r="BU160" i="1"/>
  <c r="BU152" i="1"/>
  <c r="BU148" i="1"/>
  <c r="BU143" i="1"/>
  <c r="BU127" i="1"/>
  <c r="BU77" i="1"/>
  <c r="BU78" i="1"/>
  <c r="BU74" i="1"/>
  <c r="BU70" i="1"/>
  <c r="BU64" i="1"/>
  <c r="BU65" i="1"/>
  <c r="BU69" i="1"/>
  <c r="BU62" i="1"/>
  <c r="BU61" i="1"/>
  <c r="BU58" i="1"/>
  <c r="BU54" i="1"/>
  <c r="BU55" i="1"/>
  <c r="BU53" i="1"/>
  <c r="BU51" i="1"/>
  <c r="BU52" i="1"/>
  <c r="BU45" i="1"/>
  <c r="BU47" i="1"/>
  <c r="BU42" i="1"/>
  <c r="BU43" i="1"/>
  <c r="BU37" i="1"/>
  <c r="BU38" i="1"/>
  <c r="BU39" i="1"/>
  <c r="BU33" i="1"/>
  <c r="BU23" i="1"/>
  <c r="BU24" i="1"/>
  <c r="BU157" i="1"/>
  <c r="BU76" i="1"/>
  <c r="BU75" i="1"/>
  <c r="BU71" i="1"/>
  <c r="BU44" i="1"/>
  <c r="BU35" i="1"/>
  <c r="BU36" i="1"/>
  <c r="BU40" i="1"/>
  <c r="BU41" i="1"/>
  <c r="BU34" i="1"/>
  <c r="BU31" i="1"/>
  <c r="BU32" i="1"/>
  <c r="BU30" i="1"/>
  <c r="BU29" i="1"/>
  <c r="BU27" i="1"/>
  <c r="BU28" i="1"/>
  <c r="BU25" i="1"/>
  <c r="BU26" i="1"/>
  <c r="BU19" i="1"/>
  <c r="BU20" i="1"/>
  <c r="BU21" i="1"/>
  <c r="BU22" i="1"/>
  <c r="BU18" i="1"/>
  <c r="BU15" i="1"/>
  <c r="BU16" i="1"/>
  <c r="BU17" i="1"/>
  <c r="BU13" i="1"/>
  <c r="BU14" i="1"/>
  <c r="BU10" i="1"/>
  <c r="BU11" i="1"/>
  <c r="BU12" i="1"/>
  <c r="BU9" i="1"/>
  <c r="BU2" i="1"/>
  <c r="BU3" i="1"/>
  <c r="BU4" i="1"/>
  <c r="BU5" i="1"/>
  <c r="BU6" i="1"/>
  <c r="BU7" i="1"/>
  <c r="BU8" i="1"/>
  <c r="BV192" i="1"/>
  <c r="BV190" i="1"/>
  <c r="CZ190" i="1" s="1"/>
  <c r="DC190" i="1" s="1"/>
  <c r="BV191" i="1"/>
  <c r="BV189" i="1"/>
  <c r="BV188" i="1"/>
  <c r="BV186" i="1"/>
  <c r="BV181" i="1"/>
  <c r="BV182" i="1"/>
  <c r="CZ182" i="1" s="1"/>
  <c r="DC182" i="1" s="1"/>
  <c r="BV180" i="1"/>
  <c r="CZ180" i="1" s="1"/>
  <c r="DC180" i="1" s="1"/>
  <c r="BV178" i="1"/>
  <c r="BV179" i="1"/>
  <c r="BV174" i="1"/>
  <c r="BV175" i="1"/>
  <c r="BV176" i="1"/>
  <c r="BV177" i="1"/>
  <c r="CZ177" i="1" s="1"/>
  <c r="DC177" i="1" s="1"/>
  <c r="BV172" i="1"/>
  <c r="BV170" i="1"/>
  <c r="BV165" i="1"/>
  <c r="BV166" i="1"/>
  <c r="BV161" i="1"/>
  <c r="CZ161" i="1" s="1"/>
  <c r="DC161" i="1" s="1"/>
  <c r="BV162" i="1"/>
  <c r="BV158" i="1"/>
  <c r="BV155" i="1"/>
  <c r="BV156" i="1"/>
  <c r="BV154" i="1"/>
  <c r="BV144" i="1"/>
  <c r="BV145" i="1"/>
  <c r="BV140" i="1"/>
  <c r="BV141" i="1"/>
  <c r="BV142" i="1"/>
  <c r="BV133" i="1"/>
  <c r="BV134" i="1"/>
  <c r="CZ134" i="1" s="1"/>
  <c r="DC134" i="1" s="1"/>
  <c r="BV135" i="1"/>
  <c r="BV124" i="1"/>
  <c r="BV117" i="1"/>
  <c r="BV118" i="1"/>
  <c r="BV119" i="1"/>
  <c r="BV120" i="1"/>
  <c r="BV111" i="1"/>
  <c r="BV112" i="1"/>
  <c r="BV113" i="1"/>
  <c r="BV106" i="1"/>
  <c r="BV107" i="1"/>
  <c r="BV108" i="1"/>
  <c r="CZ108" i="1" s="1"/>
  <c r="DC108" i="1" s="1"/>
  <c r="BV109" i="1"/>
  <c r="CZ109" i="1" s="1"/>
  <c r="DC109" i="1" s="1"/>
  <c r="BV95" i="1"/>
  <c r="BV96" i="1"/>
  <c r="BV97" i="1"/>
  <c r="BV98" i="1"/>
  <c r="BV99" i="1"/>
  <c r="CZ99" i="1" s="1"/>
  <c r="DC99" i="1" s="1"/>
  <c r="BV100" i="1"/>
  <c r="BV87" i="1"/>
  <c r="BV85" i="1"/>
  <c r="BV83" i="1"/>
  <c r="BV73" i="1"/>
  <c r="BV187" i="1"/>
  <c r="CZ187" i="1" s="1"/>
  <c r="DC187" i="1" s="1"/>
  <c r="BV185" i="1"/>
  <c r="BV183" i="1"/>
  <c r="CZ183" i="1" s="1"/>
  <c r="DC183" i="1" s="1"/>
  <c r="BV173" i="1"/>
  <c r="BV167" i="1"/>
  <c r="BV168" i="1"/>
  <c r="BV169" i="1"/>
  <c r="BV163" i="1"/>
  <c r="BV164" i="1"/>
  <c r="BV159" i="1"/>
  <c r="BV153" i="1"/>
  <c r="BV149" i="1"/>
  <c r="BV150" i="1"/>
  <c r="CZ150" i="1" s="1"/>
  <c r="DC150" i="1" s="1"/>
  <c r="BV151" i="1"/>
  <c r="BV146" i="1"/>
  <c r="BV147" i="1"/>
  <c r="BV136" i="1"/>
  <c r="BV137" i="1"/>
  <c r="BV138" i="1"/>
  <c r="CZ138" i="1" s="1"/>
  <c r="DC138" i="1" s="1"/>
  <c r="BV139" i="1"/>
  <c r="BV131" i="1"/>
  <c r="BV132" i="1"/>
  <c r="BV128" i="1"/>
  <c r="BV129" i="1"/>
  <c r="BV130" i="1"/>
  <c r="CZ130" i="1" s="1"/>
  <c r="DC130" i="1" s="1"/>
  <c r="BV123" i="1"/>
  <c r="BV125" i="1"/>
  <c r="BV126" i="1"/>
  <c r="BV121" i="1"/>
  <c r="BV122" i="1"/>
  <c r="BV114" i="1"/>
  <c r="BV115" i="1"/>
  <c r="BV116" i="1"/>
  <c r="BV110" i="1"/>
  <c r="BV105" i="1"/>
  <c r="BV104" i="1"/>
  <c r="BV101" i="1"/>
  <c r="CZ101" i="1" s="1"/>
  <c r="DC101" i="1" s="1"/>
  <c r="BV102" i="1"/>
  <c r="BV103" i="1"/>
  <c r="BV94" i="1"/>
  <c r="BV90" i="1"/>
  <c r="BV91" i="1"/>
  <c r="CZ91" i="1" s="1"/>
  <c r="DC91" i="1" s="1"/>
  <c r="BV92" i="1"/>
  <c r="BV93" i="1"/>
  <c r="BV88" i="1"/>
  <c r="BV89" i="1"/>
  <c r="BV84" i="1"/>
  <c r="BV86" i="1"/>
  <c r="BV82" i="1"/>
  <c r="CZ82" i="1" s="1"/>
  <c r="DC82" i="1" s="1"/>
  <c r="BV80" i="1"/>
  <c r="BV81" i="1"/>
  <c r="BV79" i="1"/>
  <c r="BV72" i="1"/>
  <c r="BV66" i="1"/>
  <c r="BV67" i="1"/>
  <c r="CZ67" i="1" s="1"/>
  <c r="DC67" i="1" s="1"/>
  <c r="BV68" i="1"/>
  <c r="BV63" i="1"/>
  <c r="BV60" i="1"/>
  <c r="BV57" i="1"/>
  <c r="BV59" i="1"/>
  <c r="CZ59" i="1" s="1"/>
  <c r="DC59" i="1" s="1"/>
  <c r="BV56" i="1"/>
  <c r="CZ56" i="1" s="1"/>
  <c r="DC56" i="1" s="1"/>
  <c r="BV49" i="1"/>
  <c r="BV50" i="1"/>
  <c r="BV48" i="1"/>
  <c r="BV46" i="1"/>
  <c r="BV184" i="1"/>
  <c r="BV171" i="1"/>
  <c r="BV160" i="1"/>
  <c r="CZ160" i="1" s="1"/>
  <c r="DC160" i="1" s="1"/>
  <c r="BV152" i="1"/>
  <c r="BV148" i="1"/>
  <c r="BV143" i="1"/>
  <c r="BV127" i="1"/>
  <c r="BV77" i="1"/>
  <c r="CZ77" i="1" s="1"/>
  <c r="DC77" i="1" s="1"/>
  <c r="BV78" i="1"/>
  <c r="BV74" i="1"/>
  <c r="BV70" i="1"/>
  <c r="BV64" i="1"/>
  <c r="BV65" i="1"/>
  <c r="BV69" i="1"/>
  <c r="BV62" i="1"/>
  <c r="BV61" i="1"/>
  <c r="BV58" i="1"/>
  <c r="BV54" i="1"/>
  <c r="BV55" i="1"/>
  <c r="CZ55" i="1" s="1"/>
  <c r="DC55" i="1" s="1"/>
  <c r="BV53" i="1"/>
  <c r="CZ53" i="1" s="1"/>
  <c r="DC53" i="1" s="1"/>
  <c r="BV51" i="1"/>
  <c r="BV52" i="1"/>
  <c r="BV45" i="1"/>
  <c r="BV47" i="1"/>
  <c r="BV42" i="1"/>
  <c r="BV43" i="1"/>
  <c r="BV37" i="1"/>
  <c r="BV38" i="1"/>
  <c r="CZ38" i="1" s="1"/>
  <c r="DC38" i="1" s="1"/>
  <c r="BV39" i="1"/>
  <c r="BV33" i="1"/>
  <c r="BV23" i="1"/>
  <c r="BV24" i="1"/>
  <c r="BV157" i="1"/>
  <c r="BV76" i="1"/>
  <c r="BV75" i="1"/>
  <c r="BV71" i="1"/>
  <c r="BV44" i="1"/>
  <c r="BV35" i="1"/>
  <c r="BV36" i="1"/>
  <c r="BV40" i="1"/>
  <c r="BV41" i="1"/>
  <c r="BV34" i="1"/>
  <c r="BV31" i="1"/>
  <c r="BV32" i="1"/>
  <c r="CZ32" i="1" s="1"/>
  <c r="DC32" i="1" s="1"/>
  <c r="BV30" i="1"/>
  <c r="BV29" i="1"/>
  <c r="BV27" i="1"/>
  <c r="CZ27" i="1" s="1"/>
  <c r="DC27" i="1" s="1"/>
  <c r="BV28" i="1"/>
  <c r="BV25" i="1"/>
  <c r="BV26" i="1"/>
  <c r="BV19" i="1"/>
  <c r="BV20" i="1"/>
  <c r="BV21" i="1"/>
  <c r="BV22" i="1"/>
  <c r="BV18" i="1"/>
  <c r="BV15" i="1"/>
  <c r="BV16" i="1"/>
  <c r="BV17" i="1"/>
  <c r="CW17" i="4" s="1"/>
  <c r="BV13" i="1"/>
  <c r="BV14" i="1"/>
  <c r="BV10" i="1"/>
  <c r="CW10" i="4" s="1"/>
  <c r="BV11" i="1"/>
  <c r="BV12" i="1"/>
  <c r="BV9" i="1"/>
  <c r="BV2" i="1"/>
  <c r="BV3" i="1"/>
  <c r="BV4" i="1"/>
  <c r="BV5" i="1"/>
  <c r="BV6" i="1"/>
  <c r="BV7" i="1"/>
  <c r="BV8" i="1"/>
  <c r="BT192" i="1"/>
  <c r="BT190" i="1"/>
  <c r="BT191" i="1"/>
  <c r="BT189" i="1"/>
  <c r="BT188" i="1"/>
  <c r="BT186" i="1"/>
  <c r="BT181" i="1"/>
  <c r="BT182" i="1"/>
  <c r="BT180" i="1"/>
  <c r="BT178" i="1"/>
  <c r="BT179" i="1"/>
  <c r="BT174" i="1"/>
  <c r="BT175" i="1"/>
  <c r="BT176" i="1"/>
  <c r="BT177" i="1"/>
  <c r="BT172" i="1"/>
  <c r="BT170" i="1"/>
  <c r="BT165" i="1"/>
  <c r="BT166" i="1"/>
  <c r="BT161" i="1"/>
  <c r="BT162" i="1"/>
  <c r="BT158" i="1"/>
  <c r="BT155" i="1"/>
  <c r="BT156" i="1"/>
  <c r="BT154" i="1"/>
  <c r="BT144" i="1"/>
  <c r="BT145" i="1"/>
  <c r="BT140" i="1"/>
  <c r="BT141" i="1"/>
  <c r="BT142" i="1"/>
  <c r="BT133" i="1"/>
  <c r="BT134" i="1"/>
  <c r="BT135" i="1"/>
  <c r="BT124" i="1"/>
  <c r="BT117" i="1"/>
  <c r="BT118" i="1"/>
  <c r="BT119" i="1"/>
  <c r="BT120" i="1"/>
  <c r="BT111" i="1"/>
  <c r="BT112" i="1"/>
  <c r="BT113" i="1"/>
  <c r="BT106" i="1"/>
  <c r="BT107" i="1"/>
  <c r="BT108" i="1"/>
  <c r="BT109" i="1"/>
  <c r="BT95" i="1"/>
  <c r="BT96" i="1"/>
  <c r="BT97" i="1"/>
  <c r="BT98" i="1"/>
  <c r="BT99" i="1"/>
  <c r="BT100" i="1"/>
  <c r="BT87" i="1"/>
  <c r="BT85" i="1"/>
  <c r="BT83" i="1"/>
  <c r="BT73" i="1"/>
  <c r="BT187" i="1"/>
  <c r="BT185" i="1"/>
  <c r="BT183" i="1"/>
  <c r="BT173" i="1"/>
  <c r="BT167" i="1"/>
  <c r="BT168" i="1"/>
  <c r="BT169" i="1"/>
  <c r="BT163" i="1"/>
  <c r="BT164" i="1"/>
  <c r="BT159" i="1"/>
  <c r="BT153" i="1"/>
  <c r="BT149" i="1"/>
  <c r="BT150" i="1"/>
  <c r="BT151" i="1"/>
  <c r="BT146" i="1"/>
  <c r="BT147" i="1"/>
  <c r="BT136" i="1"/>
  <c r="BT137" i="1"/>
  <c r="BT138" i="1"/>
  <c r="BT139" i="1"/>
  <c r="BT131" i="1"/>
  <c r="BT132" i="1"/>
  <c r="BT128" i="1"/>
  <c r="BT129" i="1"/>
  <c r="BT130" i="1"/>
  <c r="BT123" i="1"/>
  <c r="BT125" i="1"/>
  <c r="BT126" i="1"/>
  <c r="BT121" i="1"/>
  <c r="BT122" i="1"/>
  <c r="BT114" i="1"/>
  <c r="BT115" i="1"/>
  <c r="BT116" i="1"/>
  <c r="BT110" i="1"/>
  <c r="BT105" i="1"/>
  <c r="BT104" i="1"/>
  <c r="BT101" i="1"/>
  <c r="BT102" i="1"/>
  <c r="BT103" i="1"/>
  <c r="BT94" i="1"/>
  <c r="BT90" i="1"/>
  <c r="BT91" i="1"/>
  <c r="BT92" i="1"/>
  <c r="BT93" i="1"/>
  <c r="BT88" i="1"/>
  <c r="BT89" i="1"/>
  <c r="BT84" i="1"/>
  <c r="BT86" i="1"/>
  <c r="BT82" i="1"/>
  <c r="BT80" i="1"/>
  <c r="BT81" i="1"/>
  <c r="BT79" i="1"/>
  <c r="BT72" i="1"/>
  <c r="BT66" i="1"/>
  <c r="BT67" i="1"/>
  <c r="BT68" i="1"/>
  <c r="BT63" i="1"/>
  <c r="BT60" i="1"/>
  <c r="BT57" i="1"/>
  <c r="BT59" i="1"/>
  <c r="BT56" i="1"/>
  <c r="BT49" i="1"/>
  <c r="BT50" i="1"/>
  <c r="BT48" i="1"/>
  <c r="BT46" i="1"/>
  <c r="BT184" i="1"/>
  <c r="BT171" i="1"/>
  <c r="BT160" i="1"/>
  <c r="BT152" i="1"/>
  <c r="BT148" i="1"/>
  <c r="BT143" i="1"/>
  <c r="BT127" i="1"/>
  <c r="BT77" i="1"/>
  <c r="BT78" i="1"/>
  <c r="BT74" i="1"/>
  <c r="BT70" i="1"/>
  <c r="BT64" i="1"/>
  <c r="BT65" i="1"/>
  <c r="BT69" i="1"/>
  <c r="BT62" i="1"/>
  <c r="BT61" i="1"/>
  <c r="BT58" i="1"/>
  <c r="BT54" i="1"/>
  <c r="BT55" i="1"/>
  <c r="BT53" i="1"/>
  <c r="BT51" i="1"/>
  <c r="BT52" i="1"/>
  <c r="BT45" i="1"/>
  <c r="BT47" i="1"/>
  <c r="BT42" i="1"/>
  <c r="BT43" i="1"/>
  <c r="BT37" i="1"/>
  <c r="BT38" i="1"/>
  <c r="BT39" i="1"/>
  <c r="BT33" i="1"/>
  <c r="BT23" i="1"/>
  <c r="BT24" i="1"/>
  <c r="BT157" i="1"/>
  <c r="BT76" i="1"/>
  <c r="BT75" i="1"/>
  <c r="BT71" i="1"/>
  <c r="BT44" i="1"/>
  <c r="BT35" i="1"/>
  <c r="BT36" i="1"/>
  <c r="BT40" i="1"/>
  <c r="BT41" i="1"/>
  <c r="BT34" i="1"/>
  <c r="BT31" i="1"/>
  <c r="BT32" i="1"/>
  <c r="BT30" i="1"/>
  <c r="BT29" i="1"/>
  <c r="BT27" i="1"/>
  <c r="BT28" i="1"/>
  <c r="BT25" i="1"/>
  <c r="BT26" i="1"/>
  <c r="BT19" i="1"/>
  <c r="BT20" i="1"/>
  <c r="BT21" i="1"/>
  <c r="BT22" i="1"/>
  <c r="BT18" i="1"/>
  <c r="BT15" i="1"/>
  <c r="BT16" i="1"/>
  <c r="BT17" i="1"/>
  <c r="BT13" i="1"/>
  <c r="BT14" i="1"/>
  <c r="BT10" i="1"/>
  <c r="BT11" i="1"/>
  <c r="BT12" i="1"/>
  <c r="BT9" i="1"/>
  <c r="BT2" i="1"/>
  <c r="BT3" i="1"/>
  <c r="BT4" i="1"/>
  <c r="BT5" i="1"/>
  <c r="BT6" i="1"/>
  <c r="BT7" i="1"/>
  <c r="BT8" i="1"/>
  <c r="CT16" i="1" l="1"/>
  <c r="CT184" i="1"/>
  <c r="CT185" i="1"/>
  <c r="CV185" i="1" s="1"/>
  <c r="CW185" i="1" s="1"/>
  <c r="CY185" i="1" s="1"/>
  <c r="CQ23" i="4"/>
  <c r="CQ11" i="4"/>
  <c r="CT15" i="1"/>
  <c r="CV15" i="1" s="1"/>
  <c r="CW15" i="1" s="1"/>
  <c r="CT122" i="1"/>
  <c r="CV122" i="1" s="1"/>
  <c r="CW122" i="1" s="1"/>
  <c r="CY122" i="1" s="1"/>
  <c r="CT8" i="1"/>
  <c r="CS8" i="4" s="1"/>
  <c r="CT116" i="1"/>
  <c r="CV116" i="1" s="1"/>
  <c r="CW116" i="1" s="1"/>
  <c r="CY116" i="1" s="1"/>
  <c r="CT136" i="1"/>
  <c r="CV136" i="1" s="1"/>
  <c r="CW136" i="1" s="1"/>
  <c r="CY136" i="1" s="1"/>
  <c r="DB136" i="1" s="1"/>
  <c r="CT107" i="1"/>
  <c r="CV107" i="1" s="1"/>
  <c r="CW107" i="1" s="1"/>
  <c r="CY107" i="1" s="1"/>
  <c r="CT142" i="1"/>
  <c r="CV142" i="1" s="1"/>
  <c r="CW142" i="1" s="1"/>
  <c r="CY142" i="1" s="1"/>
  <c r="CT3" i="1"/>
  <c r="CT172" i="1"/>
  <c r="CV172" i="1" s="1"/>
  <c r="CW172" i="1" s="1"/>
  <c r="CY172" i="1" s="1"/>
  <c r="DB172" i="1" s="1"/>
  <c r="CT187" i="1"/>
  <c r="CQ18" i="4"/>
  <c r="CQ6" i="4"/>
  <c r="CV109" i="1"/>
  <c r="CW109" i="1" s="1"/>
  <c r="CY109" i="1" s="1"/>
  <c r="DB109" i="1" s="1"/>
  <c r="CV53" i="1"/>
  <c r="CW53" i="1" s="1"/>
  <c r="CY53" i="1" s="1"/>
  <c r="CT28" i="1"/>
  <c r="CV28" i="1" s="1"/>
  <c r="CW28" i="1" s="1"/>
  <c r="CY28" i="1" s="1"/>
  <c r="CT6" i="1"/>
  <c r="CS6" i="4" s="1"/>
  <c r="CQ20" i="4"/>
  <c r="CQ8" i="4"/>
  <c r="CT191" i="1"/>
  <c r="CV191" i="1" s="1"/>
  <c r="CW191" i="1" s="1"/>
  <c r="CY191" i="1" s="1"/>
  <c r="DB191" i="1" s="1"/>
  <c r="CQ10" i="4"/>
  <c r="CT12" i="1"/>
  <c r="CV12" i="1" s="1"/>
  <c r="CT164" i="1"/>
  <c r="CV164" i="1" s="1"/>
  <c r="CT9" i="1"/>
  <c r="CV9" i="1" s="1"/>
  <c r="CW9" i="1" s="1"/>
  <c r="CT125" i="1"/>
  <c r="CV125" i="1" s="1"/>
  <c r="CW125" i="1" s="1"/>
  <c r="CY125" i="1" s="1"/>
  <c r="DB125" i="1" s="1"/>
  <c r="CT99" i="1"/>
  <c r="CV99" i="1" s="1"/>
  <c r="CW99" i="1" s="1"/>
  <c r="CY99" i="1" s="1"/>
  <c r="DA99" i="1" s="1"/>
  <c r="DD99" i="1" s="1"/>
  <c r="CT119" i="1"/>
  <c r="CV119" i="1" s="1"/>
  <c r="CW119" i="1" s="1"/>
  <c r="CY119" i="1" s="1"/>
  <c r="DB119" i="1" s="1"/>
  <c r="CT156" i="1"/>
  <c r="CV156" i="1" s="1"/>
  <c r="CW156" i="1" s="1"/>
  <c r="CY156" i="1" s="1"/>
  <c r="DB156" i="1" s="1"/>
  <c r="CT25" i="1"/>
  <c r="CV25" i="1" s="1"/>
  <c r="CW25" i="1" s="1"/>
  <c r="CY25" i="1" s="1"/>
  <c r="DB25" i="1" s="1"/>
  <c r="CT123" i="1"/>
  <c r="CV123" i="1" s="1"/>
  <c r="CW123" i="1" s="1"/>
  <c r="CY123" i="1" s="1"/>
  <c r="DB123" i="1" s="1"/>
  <c r="CT190" i="1"/>
  <c r="CV190" i="1" s="1"/>
  <c r="CW190" i="1" s="1"/>
  <c r="CY190" i="1" s="1"/>
  <c r="DA190" i="1" s="1"/>
  <c r="CT182" i="1"/>
  <c r="CV182" i="1" s="1"/>
  <c r="CQ2" i="4"/>
  <c r="CQ17" i="4"/>
  <c r="CQ5" i="4"/>
  <c r="CT11" i="1"/>
  <c r="CV11" i="1" s="1"/>
  <c r="CW11" i="1" s="1"/>
  <c r="CT24" i="1"/>
  <c r="CV24" i="1" s="1"/>
  <c r="CW24" i="1" s="1"/>
  <c r="CY24" i="1" s="1"/>
  <c r="DB24" i="1" s="1"/>
  <c r="CT163" i="1"/>
  <c r="CV163" i="1" s="1"/>
  <c r="CW163" i="1" s="1"/>
  <c r="CY163" i="1" s="1"/>
  <c r="DB163" i="1" s="1"/>
  <c r="CT14" i="1"/>
  <c r="CV14" i="1" s="1"/>
  <c r="CT14" i="4" s="1"/>
  <c r="CT130" i="1"/>
  <c r="CV130" i="1" s="1"/>
  <c r="CW130" i="1" s="1"/>
  <c r="CY130" i="1" s="1"/>
  <c r="DA130" i="1" s="1"/>
  <c r="DD130" i="1" s="1"/>
  <c r="CT98" i="1"/>
  <c r="CV98" i="1" s="1"/>
  <c r="CW98" i="1" s="1"/>
  <c r="CY98" i="1" s="1"/>
  <c r="DB98" i="1" s="1"/>
  <c r="CT118" i="1"/>
  <c r="CV118" i="1" s="1"/>
  <c r="CW118" i="1" s="1"/>
  <c r="CY118" i="1" s="1"/>
  <c r="DB118" i="1" s="1"/>
  <c r="CT162" i="1"/>
  <c r="CV162" i="1" s="1"/>
  <c r="CW162" i="1" s="1"/>
  <c r="CY162" i="1" s="1"/>
  <c r="DB162" i="1" s="1"/>
  <c r="CT153" i="1"/>
  <c r="CV153" i="1" s="1"/>
  <c r="CW153" i="1" s="1"/>
  <c r="CY153" i="1" s="1"/>
  <c r="CT2" i="1"/>
  <c r="CV2" i="1" s="1"/>
  <c r="CT181" i="1"/>
  <c r="CV181" i="1" s="1"/>
  <c r="CQ24" i="4"/>
  <c r="CQ12" i="4"/>
  <c r="CT4" i="1"/>
  <c r="CS4" i="4" s="1"/>
  <c r="CQ22" i="4"/>
  <c r="CT18" i="1"/>
  <c r="CV18" i="1" s="1"/>
  <c r="CW18" i="1" s="1"/>
  <c r="CT23" i="1"/>
  <c r="CS23" i="4" s="1"/>
  <c r="CT129" i="1"/>
  <c r="CV129" i="1" s="1"/>
  <c r="CW129" i="1" s="1"/>
  <c r="CY129" i="1" s="1"/>
  <c r="DB129" i="1" s="1"/>
  <c r="CT97" i="1"/>
  <c r="CV97" i="1" s="1"/>
  <c r="CW97" i="1" s="1"/>
  <c r="CY97" i="1" s="1"/>
  <c r="DB97" i="1" s="1"/>
  <c r="CT117" i="1"/>
  <c r="CT161" i="1"/>
  <c r="CT159" i="1"/>
  <c r="CV159" i="1" s="1"/>
  <c r="CW159" i="1" s="1"/>
  <c r="CY159" i="1" s="1"/>
  <c r="DA159" i="1" s="1"/>
  <c r="DD159" i="1" s="1"/>
  <c r="CT132" i="1"/>
  <c r="CQ19" i="4"/>
  <c r="CQ7" i="4"/>
  <c r="CT19" i="1"/>
  <c r="CV19" i="1" s="1"/>
  <c r="CW19" i="1" s="1"/>
  <c r="CV157" i="1"/>
  <c r="CW157" i="1" s="1"/>
  <c r="CY157" i="1" s="1"/>
  <c r="DA157" i="1" s="1"/>
  <c r="DD157" i="1" s="1"/>
  <c r="CV150" i="1"/>
  <c r="CW150" i="1" s="1"/>
  <c r="CY150" i="1" s="1"/>
  <c r="CV126" i="1"/>
  <c r="CW126" i="1" s="1"/>
  <c r="CY126" i="1" s="1"/>
  <c r="DB126" i="1" s="1"/>
  <c r="CV100" i="1"/>
  <c r="CW100" i="1" s="1"/>
  <c r="CY100" i="1" s="1"/>
  <c r="DA100" i="1" s="1"/>
  <c r="DD100" i="1" s="1"/>
  <c r="CV120" i="1"/>
  <c r="CW120" i="1" s="1"/>
  <c r="CY120" i="1" s="1"/>
  <c r="DB120" i="1" s="1"/>
  <c r="CV154" i="1"/>
  <c r="CW154" i="1" s="1"/>
  <c r="CY154" i="1" s="1"/>
  <c r="DB154" i="1" s="1"/>
  <c r="CV101" i="1"/>
  <c r="CW101" i="1" s="1"/>
  <c r="CY101" i="1" s="1"/>
  <c r="DA101" i="1" s="1"/>
  <c r="DD101" i="1" s="1"/>
  <c r="CV174" i="1"/>
  <c r="CT22" i="1"/>
  <c r="CT93" i="1"/>
  <c r="CT33" i="1"/>
  <c r="CV33" i="1" s="1"/>
  <c r="CW33" i="1" s="1"/>
  <c r="CY33" i="1" s="1"/>
  <c r="CT169" i="1"/>
  <c r="CV169" i="1" s="1"/>
  <c r="CW169" i="1" s="1"/>
  <c r="CY169" i="1" s="1"/>
  <c r="CT82" i="1"/>
  <c r="CV82" i="1" s="1"/>
  <c r="CW82" i="1" s="1"/>
  <c r="CY82" i="1" s="1"/>
  <c r="CT85" i="1"/>
  <c r="CV85" i="1" s="1"/>
  <c r="CW85" i="1" s="1"/>
  <c r="CY85" i="1" s="1"/>
  <c r="CT42" i="1"/>
  <c r="CV42" i="1" s="1"/>
  <c r="CW42" i="1" s="1"/>
  <c r="CY42" i="1" s="1"/>
  <c r="CT90" i="1"/>
  <c r="CV90" i="1" s="1"/>
  <c r="CW90" i="1" s="1"/>
  <c r="CY90" i="1" s="1"/>
  <c r="CT128" i="1"/>
  <c r="CV128" i="1" s="1"/>
  <c r="CW128" i="1" s="1"/>
  <c r="CY128" i="1" s="1"/>
  <c r="CT96" i="1"/>
  <c r="CV96" i="1" s="1"/>
  <c r="CW96" i="1" s="1"/>
  <c r="CY96" i="1" s="1"/>
  <c r="DA96" i="1" s="1"/>
  <c r="DD96" i="1" s="1"/>
  <c r="CT124" i="1"/>
  <c r="CV124" i="1" s="1"/>
  <c r="CW124" i="1" s="1"/>
  <c r="CY124" i="1" s="1"/>
  <c r="DB124" i="1" s="1"/>
  <c r="CT166" i="1"/>
  <c r="CT76" i="1"/>
  <c r="CT87" i="1"/>
  <c r="CV87" i="1" s="1"/>
  <c r="CW87" i="1" s="1"/>
  <c r="CY87" i="1" s="1"/>
  <c r="CT131" i="1"/>
  <c r="CV131" i="1" s="1"/>
  <c r="CW131" i="1" s="1"/>
  <c r="CY131" i="1" s="1"/>
  <c r="CQ14" i="4"/>
  <c r="CT21" i="1"/>
  <c r="CS21" i="4" s="1"/>
  <c r="CT104" i="1"/>
  <c r="CV104" i="1" s="1"/>
  <c r="CW104" i="1" s="1"/>
  <c r="CY104" i="1" s="1"/>
  <c r="CT39" i="1"/>
  <c r="CV39" i="1" s="1"/>
  <c r="CW39" i="1" s="1"/>
  <c r="CY39" i="1" s="1"/>
  <c r="CT92" i="1"/>
  <c r="CV92" i="1" s="1"/>
  <c r="CW92" i="1" s="1"/>
  <c r="CY92" i="1" s="1"/>
  <c r="CT145" i="1"/>
  <c r="CV145" i="1" s="1"/>
  <c r="CW145" i="1" s="1"/>
  <c r="CY145" i="1" s="1"/>
  <c r="CT45" i="1"/>
  <c r="CV45" i="1" s="1"/>
  <c r="CW45" i="1" s="1"/>
  <c r="CY45" i="1" s="1"/>
  <c r="DA45" i="1" s="1"/>
  <c r="CT102" i="1"/>
  <c r="CV102" i="1" s="1"/>
  <c r="CW102" i="1" s="1"/>
  <c r="CY102" i="1" s="1"/>
  <c r="DB102" i="1" s="1"/>
  <c r="CT139" i="1"/>
  <c r="CV139" i="1" s="1"/>
  <c r="CW139" i="1" s="1"/>
  <c r="CY139" i="1" s="1"/>
  <c r="DB139" i="1" s="1"/>
  <c r="CT95" i="1"/>
  <c r="CT135" i="1"/>
  <c r="CV135" i="1" s="1"/>
  <c r="CW135" i="1" s="1"/>
  <c r="CY135" i="1" s="1"/>
  <c r="DB135" i="1" s="1"/>
  <c r="CT178" i="1"/>
  <c r="CV178" i="1" s="1"/>
  <c r="CW178" i="1" s="1"/>
  <c r="CY178" i="1" s="1"/>
  <c r="CT51" i="1"/>
  <c r="CV51" i="1" s="1"/>
  <c r="CW51" i="1" s="1"/>
  <c r="CY51" i="1" s="1"/>
  <c r="CT106" i="1"/>
  <c r="CV106" i="1" s="1"/>
  <c r="CW106" i="1" s="1"/>
  <c r="CY106" i="1" s="1"/>
  <c r="CT149" i="1"/>
  <c r="CV149" i="1" s="1"/>
  <c r="CW149" i="1" s="1"/>
  <c r="CY149" i="1" s="1"/>
  <c r="CQ21" i="4"/>
  <c r="CQ9" i="4"/>
  <c r="CW81" i="1"/>
  <c r="CY81" i="1" s="1"/>
  <c r="DB81" i="1" s="1"/>
  <c r="CT17" i="1"/>
  <c r="CS17" i="4" s="1"/>
  <c r="CT26" i="1"/>
  <c r="CV26" i="1" s="1"/>
  <c r="CW26" i="1" s="1"/>
  <c r="CY26" i="1" s="1"/>
  <c r="CT10" i="1"/>
  <c r="CT27" i="1"/>
  <c r="CV27" i="1" s="1"/>
  <c r="CW27" i="1" s="1"/>
  <c r="CY27" i="1" s="1"/>
  <c r="CT91" i="1"/>
  <c r="CV91" i="1" s="1"/>
  <c r="CW91" i="1" s="1"/>
  <c r="CY91" i="1" s="1"/>
  <c r="CT177" i="1"/>
  <c r="CV177" i="1" s="1"/>
  <c r="CW177" i="1" s="1"/>
  <c r="CY177" i="1" s="1"/>
  <c r="CT160" i="1"/>
  <c r="CV160" i="1" s="1"/>
  <c r="CW160" i="1" s="1"/>
  <c r="CY160" i="1" s="1"/>
  <c r="DB160" i="1" s="1"/>
  <c r="CT105" i="1"/>
  <c r="CV105" i="1" s="1"/>
  <c r="CW105" i="1" s="1"/>
  <c r="CY105" i="1" s="1"/>
  <c r="DB105" i="1" s="1"/>
  <c r="CT138" i="1"/>
  <c r="CV138" i="1" s="1"/>
  <c r="CW138" i="1" s="1"/>
  <c r="CY138" i="1" s="1"/>
  <c r="DA138" i="1" s="1"/>
  <c r="CT180" i="1"/>
  <c r="CV180" i="1" s="1"/>
  <c r="CW180" i="1" s="1"/>
  <c r="CY180" i="1" s="1"/>
  <c r="DA180" i="1" s="1"/>
  <c r="CQ16" i="4"/>
  <c r="CV183" i="1"/>
  <c r="CV134" i="1"/>
  <c r="CW134" i="1" s="1"/>
  <c r="CY134" i="1" s="1"/>
  <c r="CV158" i="1"/>
  <c r="CW158" i="1" s="1"/>
  <c r="CY158" i="1" s="1"/>
  <c r="DB158" i="1" s="1"/>
  <c r="CV72" i="1"/>
  <c r="CW72" i="1" s="1"/>
  <c r="CY72" i="1" s="1"/>
  <c r="DB72" i="1" s="1"/>
  <c r="CV56" i="1"/>
  <c r="CW56" i="1" s="1"/>
  <c r="CY56" i="1" s="1"/>
  <c r="CV68" i="1"/>
  <c r="CW68" i="1" s="1"/>
  <c r="CY68" i="1" s="1"/>
  <c r="DA68" i="1" s="1"/>
  <c r="DD68" i="1" s="1"/>
  <c r="CW69" i="1"/>
  <c r="CY69" i="1" s="1"/>
  <c r="DB69" i="1" s="1"/>
  <c r="CV50" i="1"/>
  <c r="CW50" i="1" s="1"/>
  <c r="CY50" i="1" s="1"/>
  <c r="DB50" i="1" s="1"/>
  <c r="CV38" i="1"/>
  <c r="CW38" i="1" s="1"/>
  <c r="CY38" i="1" s="1"/>
  <c r="DB38" i="1" s="1"/>
  <c r="CV40" i="1"/>
  <c r="CW40" i="1" s="1"/>
  <c r="CY40" i="1" s="1"/>
  <c r="DB40" i="1" s="1"/>
  <c r="CV17" i="1"/>
  <c r="CW17" i="1" s="1"/>
  <c r="CV10" i="1"/>
  <c r="CW10" i="1" s="1"/>
  <c r="CW44" i="1"/>
  <c r="CY44" i="1" s="1"/>
  <c r="CW66" i="1"/>
  <c r="CY66" i="1" s="1"/>
  <c r="CW5" i="4"/>
  <c r="CZ5" i="1"/>
  <c r="CW24" i="4"/>
  <c r="CZ24" i="1"/>
  <c r="CX11" i="1"/>
  <c r="CU11" i="4"/>
  <c r="CX24" i="1"/>
  <c r="CU24" i="4"/>
  <c r="CX14" i="1"/>
  <c r="CU14" i="4"/>
  <c r="CU2" i="4"/>
  <c r="CX2" i="1"/>
  <c r="CX18" i="1"/>
  <c r="CU18" i="4"/>
  <c r="CX23" i="1"/>
  <c r="CU23" i="4"/>
  <c r="CI192" i="1"/>
  <c r="CX22" i="1"/>
  <c r="CU22" i="4"/>
  <c r="CW55" i="1"/>
  <c r="CY55" i="1" s="1"/>
  <c r="DA55" i="1" s="1"/>
  <c r="DD55" i="1" s="1"/>
  <c r="CU21" i="4"/>
  <c r="CX21" i="1"/>
  <c r="CT2" i="4"/>
  <c r="CX16" i="1"/>
  <c r="CU16" i="4"/>
  <c r="CZ15" i="1"/>
  <c r="CT9" i="4"/>
  <c r="CZ105" i="1"/>
  <c r="DC105" i="1" s="1"/>
  <c r="CW164" i="1"/>
  <c r="CY164" i="1" s="1"/>
  <c r="DB164" i="1" s="1"/>
  <c r="CZ73" i="1"/>
  <c r="DC73" i="1" s="1"/>
  <c r="DC10" i="1"/>
  <c r="CZ10" i="4"/>
  <c r="CW22" i="4"/>
  <c r="CZ22" i="1"/>
  <c r="CZ34" i="1"/>
  <c r="DC34" i="1" s="1"/>
  <c r="CZ33" i="1"/>
  <c r="DC33" i="1" s="1"/>
  <c r="CZ54" i="1"/>
  <c r="DC54" i="1" s="1"/>
  <c r="CZ143" i="1"/>
  <c r="DC143" i="1" s="1"/>
  <c r="CZ57" i="1"/>
  <c r="DC57" i="1" s="1"/>
  <c r="CZ84" i="1"/>
  <c r="DC84" i="1" s="1"/>
  <c r="CZ128" i="1"/>
  <c r="DC128" i="1" s="1"/>
  <c r="CZ153" i="1"/>
  <c r="DC153" i="1" s="1"/>
  <c r="CZ83" i="1"/>
  <c r="DC83" i="1" s="1"/>
  <c r="CZ106" i="1"/>
  <c r="DC106" i="1" s="1"/>
  <c r="CZ142" i="1"/>
  <c r="DC142" i="1" s="1"/>
  <c r="CZ165" i="1"/>
  <c r="DC165" i="1" s="1"/>
  <c r="CZ186" i="1"/>
  <c r="DC186" i="1" s="1"/>
  <c r="CW67" i="1"/>
  <c r="CY67" i="1" s="1"/>
  <c r="DA67" i="1" s="1"/>
  <c r="DD67" i="1" s="1"/>
  <c r="CR20" i="4"/>
  <c r="CS20" i="4"/>
  <c r="CR7" i="4"/>
  <c r="CS7" i="4"/>
  <c r="CR13" i="4"/>
  <c r="CS13" i="4"/>
  <c r="CV79" i="1"/>
  <c r="CW79" i="1" s="1"/>
  <c r="CY79" i="1" s="1"/>
  <c r="CV86" i="1"/>
  <c r="CW86" i="1" s="1"/>
  <c r="CY86" i="1" s="1"/>
  <c r="CV80" i="1"/>
  <c r="CW80" i="1" s="1"/>
  <c r="CY80" i="1" s="1"/>
  <c r="DA80" i="1" s="1"/>
  <c r="DD80" i="1" s="1"/>
  <c r="CV73" i="1"/>
  <c r="CV37" i="1"/>
  <c r="CW37" i="1" s="1"/>
  <c r="CY37" i="1" s="1"/>
  <c r="DB37" i="1" s="1"/>
  <c r="CV88" i="1"/>
  <c r="CW88" i="1" s="1"/>
  <c r="CY88" i="1" s="1"/>
  <c r="CV117" i="1"/>
  <c r="CW117" i="1" s="1"/>
  <c r="CY117" i="1" s="1"/>
  <c r="CV161" i="1"/>
  <c r="CW161" i="1" s="1"/>
  <c r="CY161" i="1" s="1"/>
  <c r="CV35" i="1"/>
  <c r="CW35" i="1" s="1"/>
  <c r="CY35" i="1" s="1"/>
  <c r="CV132" i="1"/>
  <c r="CW132" i="1" s="1"/>
  <c r="CY132" i="1" s="1"/>
  <c r="DB132" i="1" s="1"/>
  <c r="CV189" i="1"/>
  <c r="CW189" i="1" s="1"/>
  <c r="CY189" i="1" s="1"/>
  <c r="CZ23" i="1"/>
  <c r="CW23" i="4"/>
  <c r="CZ107" i="1"/>
  <c r="DC107" i="1" s="1"/>
  <c r="CR3" i="4"/>
  <c r="CS3" i="4"/>
  <c r="CX12" i="1"/>
  <c r="CU12" i="4"/>
  <c r="CW2" i="4"/>
  <c r="CZ2" i="1"/>
  <c r="CW21" i="4"/>
  <c r="CZ21" i="1"/>
  <c r="CZ41" i="1"/>
  <c r="DC41" i="1" s="1"/>
  <c r="CZ39" i="1"/>
  <c r="DC39" i="1" s="1"/>
  <c r="CZ58" i="1"/>
  <c r="DC58" i="1" s="1"/>
  <c r="CZ148" i="1"/>
  <c r="DC148" i="1" s="1"/>
  <c r="CZ60" i="1"/>
  <c r="DC60" i="1" s="1"/>
  <c r="CZ89" i="1"/>
  <c r="DC89" i="1" s="1"/>
  <c r="CZ110" i="1"/>
  <c r="DC110" i="1" s="1"/>
  <c r="CZ132" i="1"/>
  <c r="DC132" i="1" s="1"/>
  <c r="CZ159" i="1"/>
  <c r="DC159" i="1" s="1"/>
  <c r="CZ85" i="1"/>
  <c r="DC85" i="1" s="1"/>
  <c r="CZ113" i="1"/>
  <c r="DC113" i="1" s="1"/>
  <c r="CZ141" i="1"/>
  <c r="DC141" i="1" s="1"/>
  <c r="CZ170" i="1"/>
  <c r="DC170" i="1" s="1"/>
  <c r="CZ188" i="1"/>
  <c r="DC188" i="1" s="1"/>
  <c r="CR6" i="4"/>
  <c r="CV22" i="1"/>
  <c r="CW22" i="1" s="1"/>
  <c r="CV93" i="1"/>
  <c r="CW93" i="1" s="1"/>
  <c r="CY93" i="1" s="1"/>
  <c r="DA93" i="1" s="1"/>
  <c r="DD93" i="1" s="1"/>
  <c r="CV166" i="1"/>
  <c r="CW166" i="1" s="1"/>
  <c r="CY166" i="1" s="1"/>
  <c r="DB166" i="1" s="1"/>
  <c r="CV76" i="1"/>
  <c r="CW76" i="1" s="1"/>
  <c r="CY76" i="1" s="1"/>
  <c r="CV192" i="1"/>
  <c r="CW192" i="1" s="1"/>
  <c r="CY192" i="1" s="1"/>
  <c r="CZ127" i="1"/>
  <c r="DC127" i="1" s="1"/>
  <c r="CR15" i="4"/>
  <c r="CS15" i="4"/>
  <c r="CR8" i="4"/>
  <c r="CX9" i="1"/>
  <c r="CU9" i="4"/>
  <c r="CW9" i="4"/>
  <c r="CZ9" i="1"/>
  <c r="CW20" i="4"/>
  <c r="CZ40" i="1"/>
  <c r="DC40" i="1" s="1"/>
  <c r="CZ61" i="1"/>
  <c r="DC61" i="1" s="1"/>
  <c r="CZ152" i="1"/>
  <c r="DC152" i="1" s="1"/>
  <c r="CZ63" i="1"/>
  <c r="DC63" i="1" s="1"/>
  <c r="CZ88" i="1"/>
  <c r="DC88" i="1" s="1"/>
  <c r="CZ116" i="1"/>
  <c r="DC116" i="1" s="1"/>
  <c r="CZ131" i="1"/>
  <c r="DC131" i="1" s="1"/>
  <c r="CZ164" i="1"/>
  <c r="DC164" i="1" s="1"/>
  <c r="CZ87" i="1"/>
  <c r="DC87" i="1" s="1"/>
  <c r="CZ112" i="1"/>
  <c r="DC112" i="1" s="1"/>
  <c r="CZ140" i="1"/>
  <c r="DC140" i="1" s="1"/>
  <c r="CZ172" i="1"/>
  <c r="DC172" i="1" s="1"/>
  <c r="CZ189" i="1"/>
  <c r="DC189" i="1" s="1"/>
  <c r="CW174" i="1"/>
  <c r="CY174" i="1" s="1"/>
  <c r="DB174" i="1" s="1"/>
  <c r="CR5" i="4"/>
  <c r="CS5" i="4"/>
  <c r="CV21" i="1"/>
  <c r="CW21" i="1" s="1"/>
  <c r="CV83" i="1"/>
  <c r="CW83" i="1" s="1"/>
  <c r="CY83" i="1" s="1"/>
  <c r="CV95" i="1"/>
  <c r="CW95" i="1" s="1"/>
  <c r="CY95" i="1" s="1"/>
  <c r="DB95" i="1" s="1"/>
  <c r="CZ86" i="1"/>
  <c r="DC86" i="1" s="1"/>
  <c r="CW12" i="4"/>
  <c r="CZ12" i="1"/>
  <c r="CW19" i="4"/>
  <c r="CZ19" i="1"/>
  <c r="CZ36" i="1"/>
  <c r="DC36" i="1" s="1"/>
  <c r="CZ37" i="1"/>
  <c r="DC37" i="1" s="1"/>
  <c r="CZ62" i="1"/>
  <c r="DC62" i="1" s="1"/>
  <c r="CZ68" i="1"/>
  <c r="DC68" i="1" s="1"/>
  <c r="CZ93" i="1"/>
  <c r="DC93" i="1" s="1"/>
  <c r="CZ115" i="1"/>
  <c r="DC115" i="1" s="1"/>
  <c r="CZ139" i="1"/>
  <c r="DC139" i="1" s="1"/>
  <c r="CZ163" i="1"/>
  <c r="DC163" i="1" s="1"/>
  <c r="CZ100" i="1"/>
  <c r="DC100" i="1" s="1"/>
  <c r="CZ111" i="1"/>
  <c r="DC111" i="1" s="1"/>
  <c r="CZ145" i="1"/>
  <c r="DC145" i="1" s="1"/>
  <c r="CZ191" i="1"/>
  <c r="DC191" i="1" s="1"/>
  <c r="CR4" i="4"/>
  <c r="CR19" i="4"/>
  <c r="CZ149" i="1"/>
  <c r="DC149" i="1" s="1"/>
  <c r="CZ43" i="1"/>
  <c r="DC43" i="1" s="1"/>
  <c r="CZ169" i="1"/>
  <c r="DC169" i="1" s="1"/>
  <c r="CW183" i="1"/>
  <c r="CY183" i="1" s="1"/>
  <c r="DA183" i="1" s="1"/>
  <c r="CR12" i="4"/>
  <c r="CS12" i="4"/>
  <c r="CR9" i="4"/>
  <c r="CX17" i="1"/>
  <c r="CU17" i="4"/>
  <c r="CV71" i="1"/>
  <c r="CW71" i="1" s="1"/>
  <c r="CY71" i="1" s="1"/>
  <c r="CV29" i="1"/>
  <c r="CW29" i="1" s="1"/>
  <c r="CY29" i="1" s="1"/>
  <c r="CV16" i="1"/>
  <c r="CT16" i="4" s="1"/>
  <c r="CV54" i="1"/>
  <c r="CW54" i="1" s="1"/>
  <c r="CY54" i="1" s="1"/>
  <c r="CV43" i="1"/>
  <c r="CW43" i="1" s="1"/>
  <c r="CY43" i="1" s="1"/>
  <c r="CV103" i="1"/>
  <c r="CW103" i="1" s="1"/>
  <c r="CY103" i="1" s="1"/>
  <c r="CV179" i="1"/>
  <c r="CW179" i="1" s="1"/>
  <c r="CY179" i="1" s="1"/>
  <c r="DA179" i="1" s="1"/>
  <c r="DD179" i="1" s="1"/>
  <c r="CV184" i="1"/>
  <c r="CW184" i="1" s="1"/>
  <c r="CY184" i="1" s="1"/>
  <c r="CV110" i="1"/>
  <c r="CW110" i="1" s="1"/>
  <c r="CY110" i="1" s="1"/>
  <c r="CV137" i="1"/>
  <c r="CW137" i="1" s="1"/>
  <c r="CY137" i="1" s="1"/>
  <c r="CV108" i="1"/>
  <c r="CW108" i="1" s="1"/>
  <c r="CY108" i="1" s="1"/>
  <c r="CV133" i="1"/>
  <c r="CW133" i="1" s="1"/>
  <c r="CY133" i="1" s="1"/>
  <c r="DB133" i="1" s="1"/>
  <c r="CV36" i="1"/>
  <c r="CW36" i="1" s="1"/>
  <c r="CY36" i="1" s="1"/>
  <c r="CV64" i="1"/>
  <c r="CW64" i="1" s="1"/>
  <c r="CY64" i="1" s="1"/>
  <c r="CV165" i="1"/>
  <c r="CW165" i="1" s="1"/>
  <c r="CY165" i="1" s="1"/>
  <c r="CZ181" i="1"/>
  <c r="DC181" i="1" s="1"/>
  <c r="CZ171" i="1"/>
  <c r="DC171" i="1" s="1"/>
  <c r="CZ25" i="1"/>
  <c r="DC25" i="1" s="1"/>
  <c r="CZ44" i="1"/>
  <c r="DC44" i="1" s="1"/>
  <c r="CZ42" i="1"/>
  <c r="DC42" i="1" s="1"/>
  <c r="CZ65" i="1"/>
  <c r="DC65" i="1" s="1"/>
  <c r="CZ184" i="1"/>
  <c r="DC184" i="1" s="1"/>
  <c r="CZ66" i="1"/>
  <c r="DC66" i="1" s="1"/>
  <c r="CZ122" i="1"/>
  <c r="DC122" i="1" s="1"/>
  <c r="CZ137" i="1"/>
  <c r="DC137" i="1" s="1"/>
  <c r="CZ168" i="1"/>
  <c r="DC168" i="1" s="1"/>
  <c r="CZ98" i="1"/>
  <c r="DC98" i="1" s="1"/>
  <c r="CZ119" i="1"/>
  <c r="DC119" i="1" s="1"/>
  <c r="CZ154" i="1"/>
  <c r="DC154" i="1" s="1"/>
  <c r="CZ175" i="1"/>
  <c r="DC175" i="1" s="1"/>
  <c r="CZ192" i="1"/>
  <c r="DC192" i="1" s="1"/>
  <c r="CW30" i="1"/>
  <c r="CY30" i="1" s="1"/>
  <c r="DB30" i="1" s="1"/>
  <c r="CR11" i="4"/>
  <c r="CR24" i="4"/>
  <c r="CS24" i="4"/>
  <c r="CR14" i="4"/>
  <c r="CR2" i="4"/>
  <c r="CV47" i="1"/>
  <c r="CW47" i="1" s="1"/>
  <c r="CY47" i="1" s="1"/>
  <c r="CV32" i="1"/>
  <c r="CW32" i="1" s="1"/>
  <c r="CY32" i="1" s="1"/>
  <c r="CV74" i="1"/>
  <c r="CW74" i="1" s="1"/>
  <c r="CY74" i="1" s="1"/>
  <c r="CV58" i="1"/>
  <c r="CW58" i="1" s="1"/>
  <c r="CY58" i="1" s="1"/>
  <c r="CV48" i="1"/>
  <c r="CW48" i="1" s="1"/>
  <c r="CY48" i="1" s="1"/>
  <c r="CV62" i="1"/>
  <c r="CW62" i="1" s="1"/>
  <c r="CY62" i="1" s="1"/>
  <c r="CV3" i="1"/>
  <c r="CT3" i="4" s="1"/>
  <c r="CV187" i="1"/>
  <c r="CW187" i="1" s="1"/>
  <c r="CY187" i="1" s="1"/>
  <c r="DA187" i="1" s="1"/>
  <c r="CZ133" i="1"/>
  <c r="DC133" i="1" s="1"/>
  <c r="CZ120" i="1"/>
  <c r="DC120" i="1" s="1"/>
  <c r="CZ14" i="1"/>
  <c r="CW14" i="4"/>
  <c r="CZ28" i="1"/>
  <c r="DC28" i="1" s="1"/>
  <c r="CZ71" i="1"/>
  <c r="DC71" i="1" s="1"/>
  <c r="CZ47" i="1"/>
  <c r="DC47" i="1" s="1"/>
  <c r="CZ64" i="1"/>
  <c r="DC64" i="1" s="1"/>
  <c r="CZ46" i="1"/>
  <c r="DC46" i="1" s="1"/>
  <c r="CZ72" i="1"/>
  <c r="DC72" i="1" s="1"/>
  <c r="CZ90" i="1"/>
  <c r="DC90" i="1" s="1"/>
  <c r="CZ121" i="1"/>
  <c r="DC121" i="1" s="1"/>
  <c r="CZ136" i="1"/>
  <c r="DC136" i="1" s="1"/>
  <c r="CZ167" i="1"/>
  <c r="DC167" i="1" s="1"/>
  <c r="CZ97" i="1"/>
  <c r="DC97" i="1" s="1"/>
  <c r="CZ118" i="1"/>
  <c r="DC118" i="1" s="1"/>
  <c r="CZ156" i="1"/>
  <c r="DC156" i="1" s="1"/>
  <c r="CZ174" i="1"/>
  <c r="DC174" i="1" s="1"/>
  <c r="CW182" i="1"/>
  <c r="CY182" i="1" s="1"/>
  <c r="DA182" i="1" s="1"/>
  <c r="DD182" i="1" s="1"/>
  <c r="CR18" i="4"/>
  <c r="CR23" i="4"/>
  <c r="CU15" i="1"/>
  <c r="CW15" i="4" s="1"/>
  <c r="CU8" i="1"/>
  <c r="CU3" i="1"/>
  <c r="CV52" i="1"/>
  <c r="CW52" i="1" s="1"/>
  <c r="CY52" i="1" s="1"/>
  <c r="CV31" i="1"/>
  <c r="CW31" i="1" s="1"/>
  <c r="CY31" i="1" s="1"/>
  <c r="CV20" i="1"/>
  <c r="CW20" i="1" s="1"/>
  <c r="CV143" i="1"/>
  <c r="CW143" i="1" s="1"/>
  <c r="CY143" i="1" s="1"/>
  <c r="DB143" i="1" s="1"/>
  <c r="CV70" i="1"/>
  <c r="CW70" i="1" s="1"/>
  <c r="CY70" i="1" s="1"/>
  <c r="CV147" i="1"/>
  <c r="CW147" i="1" s="1"/>
  <c r="CY147" i="1" s="1"/>
  <c r="CV7" i="1"/>
  <c r="CT7" i="4" s="1"/>
  <c r="CV49" i="1"/>
  <c r="CW49" i="1" s="1"/>
  <c r="CY49" i="1" s="1"/>
  <c r="DB49" i="1" s="1"/>
  <c r="CV115" i="1"/>
  <c r="CW115" i="1" s="1"/>
  <c r="CY115" i="1" s="1"/>
  <c r="DB115" i="1" s="1"/>
  <c r="CV168" i="1"/>
  <c r="CW168" i="1" s="1"/>
  <c r="CY168" i="1" s="1"/>
  <c r="CV113" i="1"/>
  <c r="CW113" i="1" s="1"/>
  <c r="CY113" i="1" s="1"/>
  <c r="CV141" i="1"/>
  <c r="CW141" i="1" s="1"/>
  <c r="CY141" i="1" s="1"/>
  <c r="CV65" i="1"/>
  <c r="CW65" i="1" s="1"/>
  <c r="CY65" i="1" s="1"/>
  <c r="CV13" i="1"/>
  <c r="CW13" i="1" s="1"/>
  <c r="CV176" i="1"/>
  <c r="CW176" i="1" s="1"/>
  <c r="CY176" i="1" s="1"/>
  <c r="CV155" i="1"/>
  <c r="CW155" i="1" s="1"/>
  <c r="CY155" i="1" s="1"/>
  <c r="CU19" i="4"/>
  <c r="CW18" i="4"/>
  <c r="CZ18" i="1"/>
  <c r="CZ129" i="1"/>
  <c r="DC129" i="1" s="1"/>
  <c r="CZ11" i="1"/>
  <c r="CW11" i="4"/>
  <c r="CZ69" i="1"/>
  <c r="DC69" i="1" s="1"/>
  <c r="CZ114" i="1"/>
  <c r="DC114" i="1" s="1"/>
  <c r="CZ176" i="1"/>
  <c r="DC176" i="1" s="1"/>
  <c r="CZ75" i="1"/>
  <c r="DC75" i="1" s="1"/>
  <c r="CZ45" i="1"/>
  <c r="DC45" i="1" s="1"/>
  <c r="CZ70" i="1"/>
  <c r="DC70" i="1" s="1"/>
  <c r="CZ48" i="1"/>
  <c r="DC48" i="1" s="1"/>
  <c r="CZ79" i="1"/>
  <c r="DC79" i="1" s="1"/>
  <c r="CZ94" i="1"/>
  <c r="DC94" i="1" s="1"/>
  <c r="CZ126" i="1"/>
  <c r="DC126" i="1" s="1"/>
  <c r="CZ147" i="1"/>
  <c r="DC147" i="1" s="1"/>
  <c r="CZ173" i="1"/>
  <c r="DC173" i="1" s="1"/>
  <c r="CZ96" i="1"/>
  <c r="DC96" i="1" s="1"/>
  <c r="CZ117" i="1"/>
  <c r="DC117" i="1" s="1"/>
  <c r="CZ155" i="1"/>
  <c r="DC155" i="1" s="1"/>
  <c r="CZ179" i="1"/>
  <c r="DC179" i="1" s="1"/>
  <c r="CW59" i="1"/>
  <c r="CY59" i="1" s="1"/>
  <c r="DA59" i="1" s="1"/>
  <c r="DD59" i="1" s="1"/>
  <c r="CW73" i="1"/>
  <c r="CY73" i="1" s="1"/>
  <c r="DB73" i="1" s="1"/>
  <c r="CW181" i="1"/>
  <c r="CY181" i="1" s="1"/>
  <c r="DA181" i="1" s="1"/>
  <c r="DD181" i="1" s="1"/>
  <c r="CR22" i="4"/>
  <c r="CS22" i="4"/>
  <c r="CU20" i="1"/>
  <c r="CU7" i="1"/>
  <c r="CU13" i="1"/>
  <c r="CV61" i="1"/>
  <c r="CW61" i="1" s="1"/>
  <c r="CY61" i="1" s="1"/>
  <c r="CV34" i="1"/>
  <c r="CW34" i="1" s="1"/>
  <c r="CY34" i="1" s="1"/>
  <c r="CV171" i="1"/>
  <c r="CW171" i="1" s="1"/>
  <c r="CY171" i="1" s="1"/>
  <c r="CV148" i="1"/>
  <c r="CW148" i="1" s="1"/>
  <c r="CY148" i="1" s="1"/>
  <c r="CV146" i="1"/>
  <c r="CW146" i="1" s="1"/>
  <c r="CY146" i="1" s="1"/>
  <c r="CV57" i="1"/>
  <c r="CW57" i="1" s="1"/>
  <c r="CY57" i="1" s="1"/>
  <c r="DB57" i="1" s="1"/>
  <c r="CV114" i="1"/>
  <c r="CW114" i="1" s="1"/>
  <c r="CY114" i="1" s="1"/>
  <c r="DA114" i="1" s="1"/>
  <c r="CV167" i="1"/>
  <c r="CW167" i="1" s="1"/>
  <c r="CY167" i="1" s="1"/>
  <c r="CV112" i="1"/>
  <c r="CW112" i="1" s="1"/>
  <c r="CY112" i="1" s="1"/>
  <c r="CV140" i="1"/>
  <c r="CW140" i="1" s="1"/>
  <c r="CY140" i="1" s="1"/>
  <c r="CV78" i="1"/>
  <c r="CW78" i="1" s="1"/>
  <c r="CY78" i="1" s="1"/>
  <c r="DA78" i="1" s="1"/>
  <c r="CV127" i="1"/>
  <c r="CW127" i="1" s="1"/>
  <c r="CY127" i="1" s="1"/>
  <c r="DA127" i="1" s="1"/>
  <c r="CV186" i="1"/>
  <c r="CW186" i="1" s="1"/>
  <c r="CY186" i="1" s="1"/>
  <c r="DA186" i="1" s="1"/>
  <c r="CV170" i="1"/>
  <c r="CW170" i="1" s="1"/>
  <c r="CY170" i="1" s="1"/>
  <c r="CU4" i="4"/>
  <c r="CZ31" i="1"/>
  <c r="DC31" i="1" s="1"/>
  <c r="CZ166" i="1"/>
  <c r="DC166" i="1" s="1"/>
  <c r="CT12" i="4"/>
  <c r="CZ35" i="1"/>
  <c r="DC35" i="1" s="1"/>
  <c r="CZ7" i="1"/>
  <c r="CW7" i="4"/>
  <c r="CZ29" i="1"/>
  <c r="DC29" i="1" s="1"/>
  <c r="CZ76" i="1"/>
  <c r="DC76" i="1" s="1"/>
  <c r="CZ52" i="1"/>
  <c r="DC52" i="1" s="1"/>
  <c r="CZ74" i="1"/>
  <c r="DC74" i="1" s="1"/>
  <c r="CZ50" i="1"/>
  <c r="DC50" i="1" s="1"/>
  <c r="CZ81" i="1"/>
  <c r="DC81" i="1" s="1"/>
  <c r="CZ103" i="1"/>
  <c r="DC103" i="1" s="1"/>
  <c r="CZ125" i="1"/>
  <c r="DC125" i="1" s="1"/>
  <c r="CZ146" i="1"/>
  <c r="DC146" i="1" s="1"/>
  <c r="CZ95" i="1"/>
  <c r="DC95" i="1" s="1"/>
  <c r="CZ124" i="1"/>
  <c r="DC124" i="1" s="1"/>
  <c r="CZ178" i="1"/>
  <c r="DC178" i="1" s="1"/>
  <c r="CW84" i="1"/>
  <c r="CY84" i="1" s="1"/>
  <c r="DB84" i="1" s="1"/>
  <c r="CR21" i="4"/>
  <c r="CU6" i="1"/>
  <c r="CV152" i="1"/>
  <c r="CW152" i="1" s="1"/>
  <c r="CY152" i="1" s="1"/>
  <c r="CV75" i="1"/>
  <c r="CW75" i="1" s="1"/>
  <c r="CY75" i="1" s="1"/>
  <c r="DA75" i="1" s="1"/>
  <c r="DD75" i="1" s="1"/>
  <c r="CV41" i="1"/>
  <c r="CW41" i="1" s="1"/>
  <c r="CY41" i="1" s="1"/>
  <c r="CV46" i="1"/>
  <c r="CW46" i="1" s="1"/>
  <c r="CY46" i="1" s="1"/>
  <c r="CV63" i="1"/>
  <c r="CW63" i="1" s="1"/>
  <c r="CY63" i="1" s="1"/>
  <c r="CV151" i="1"/>
  <c r="CW151" i="1" s="1"/>
  <c r="CY151" i="1" s="1"/>
  <c r="DA151" i="1" s="1"/>
  <c r="DD151" i="1" s="1"/>
  <c r="CV5" i="1"/>
  <c r="CT5" i="4" s="1"/>
  <c r="CV60" i="1"/>
  <c r="CW60" i="1" s="1"/>
  <c r="CY60" i="1" s="1"/>
  <c r="CV121" i="1"/>
  <c r="CW121" i="1" s="1"/>
  <c r="CY121" i="1" s="1"/>
  <c r="CV173" i="1"/>
  <c r="CW173" i="1" s="1"/>
  <c r="CY173" i="1" s="1"/>
  <c r="CV111" i="1"/>
  <c r="CW111" i="1" s="1"/>
  <c r="CY111" i="1" s="1"/>
  <c r="CV144" i="1"/>
  <c r="CW144" i="1" s="1"/>
  <c r="CY144" i="1" s="1"/>
  <c r="CV77" i="1"/>
  <c r="CW77" i="1" s="1"/>
  <c r="CY77" i="1" s="1"/>
  <c r="CV94" i="1"/>
  <c r="CW94" i="1" s="1"/>
  <c r="CY94" i="1" s="1"/>
  <c r="CV188" i="1"/>
  <c r="CW188" i="1" s="1"/>
  <c r="CY188" i="1" s="1"/>
  <c r="DA188" i="1" s="1"/>
  <c r="CV175" i="1"/>
  <c r="CW175" i="1" s="1"/>
  <c r="CY175" i="1" s="1"/>
  <c r="CR16" i="4"/>
  <c r="CS16" i="4"/>
  <c r="CW4" i="4"/>
  <c r="CZ4" i="1"/>
  <c r="CZ104" i="1"/>
  <c r="DC104" i="1" s="1"/>
  <c r="CZ92" i="1"/>
  <c r="DC92" i="1" s="1"/>
  <c r="CZ144" i="1"/>
  <c r="DC144" i="1" s="1"/>
  <c r="CW6" i="4"/>
  <c r="CZ16" i="1"/>
  <c r="CW16" i="4"/>
  <c r="CZ30" i="1"/>
  <c r="DC30" i="1" s="1"/>
  <c r="CZ157" i="1"/>
  <c r="DC157" i="1" s="1"/>
  <c r="CZ51" i="1"/>
  <c r="DC51" i="1" s="1"/>
  <c r="CZ78" i="1"/>
  <c r="DC78" i="1" s="1"/>
  <c r="CZ49" i="1"/>
  <c r="DC49" i="1" s="1"/>
  <c r="CZ80" i="1"/>
  <c r="DC80" i="1" s="1"/>
  <c r="CZ102" i="1"/>
  <c r="DC102" i="1" s="1"/>
  <c r="CZ123" i="1"/>
  <c r="DC123" i="1" s="1"/>
  <c r="CZ151" i="1"/>
  <c r="DC151" i="1" s="1"/>
  <c r="CZ185" i="1"/>
  <c r="DC185" i="1" s="1"/>
  <c r="CZ135" i="1"/>
  <c r="DC135" i="1" s="1"/>
  <c r="CZ162" i="1"/>
  <c r="DC162" i="1" s="1"/>
  <c r="CW2" i="1"/>
  <c r="CW89" i="1"/>
  <c r="CY89" i="1" s="1"/>
  <c r="DA89" i="1" s="1"/>
  <c r="DD89" i="1" s="1"/>
  <c r="CR17" i="4"/>
  <c r="CR10" i="4"/>
  <c r="CS10" i="4"/>
  <c r="CU5" i="1"/>
  <c r="CV4" i="1"/>
  <c r="CT4" i="4" s="1"/>
  <c r="CW12" i="1"/>
  <c r="CZ17" i="1"/>
  <c r="CU10" i="4"/>
  <c r="F3" i="6"/>
  <c r="F10" i="6"/>
  <c r="D10" i="6"/>
  <c r="D1" i="6"/>
  <c r="D7" i="6"/>
  <c r="D6" i="6"/>
  <c r="N14" i="6"/>
  <c r="F6" i="6" s="1"/>
  <c r="N18" i="6"/>
  <c r="N22" i="6"/>
  <c r="N27" i="6"/>
  <c r="N43" i="6"/>
  <c r="N59" i="6"/>
  <c r="N75" i="6"/>
  <c r="N84" i="6"/>
  <c r="N86" i="6"/>
  <c r="N99" i="6"/>
  <c r="N110" i="6"/>
  <c r="N145" i="6"/>
  <c r="N168" i="6"/>
  <c r="N197" i="6"/>
  <c r="N29" i="6"/>
  <c r="N36" i="6"/>
  <c r="N45" i="6"/>
  <c r="N52" i="6"/>
  <c r="N61" i="6"/>
  <c r="N68" i="6"/>
  <c r="N77" i="6"/>
  <c r="N88" i="6"/>
  <c r="N108" i="6"/>
  <c r="N129" i="6"/>
  <c r="N152" i="6"/>
  <c r="N181" i="6"/>
  <c r="N188" i="6"/>
  <c r="N38" i="6"/>
  <c r="N54" i="6"/>
  <c r="N70" i="6"/>
  <c r="N93" i="6"/>
  <c r="N136" i="6"/>
  <c r="N165" i="6"/>
  <c r="N172" i="6"/>
  <c r="N195" i="6"/>
  <c r="N17" i="6"/>
  <c r="N21" i="6"/>
  <c r="N31" i="6"/>
  <c r="N47" i="6"/>
  <c r="N63" i="6"/>
  <c r="N79" i="6"/>
  <c r="N103" i="6"/>
  <c r="N120" i="6"/>
  <c r="N149" i="6"/>
  <c r="N156" i="6"/>
  <c r="N179" i="6"/>
  <c r="N24" i="6"/>
  <c r="N33" i="6"/>
  <c r="N40" i="6"/>
  <c r="N49" i="6"/>
  <c r="N56" i="6"/>
  <c r="N65" i="6"/>
  <c r="N72" i="6"/>
  <c r="N81" i="6"/>
  <c r="N97" i="6"/>
  <c r="N111" i="6"/>
  <c r="N133" i="6"/>
  <c r="N140" i="6"/>
  <c r="N203" i="6"/>
  <c r="N204" i="6"/>
  <c r="N190" i="6"/>
  <c r="N174" i="6"/>
  <c r="N158" i="6"/>
  <c r="N142" i="6"/>
  <c r="N126" i="6"/>
  <c r="N115" i="6"/>
  <c r="N113" i="6"/>
  <c r="N94" i="6"/>
  <c r="N89" i="6"/>
  <c r="N199" i="6"/>
  <c r="N183" i="6"/>
  <c r="N167" i="6"/>
  <c r="N151" i="6"/>
  <c r="N135" i="6"/>
  <c r="N119" i="6"/>
  <c r="N117" i="6"/>
  <c r="N92" i="6"/>
  <c r="N201" i="6"/>
  <c r="N192" i="6"/>
  <c r="N185" i="6"/>
  <c r="N176" i="6"/>
  <c r="N169" i="6"/>
  <c r="N160" i="6"/>
  <c r="N153" i="6"/>
  <c r="N144" i="6"/>
  <c r="N137" i="6"/>
  <c r="N128" i="6"/>
  <c r="N121" i="6"/>
  <c r="N98" i="6"/>
  <c r="N96" i="6"/>
  <c r="N194" i="6"/>
  <c r="N178" i="6"/>
  <c r="N162" i="6"/>
  <c r="N146" i="6"/>
  <c r="N130" i="6"/>
  <c r="N102" i="6"/>
  <c r="N100" i="6"/>
  <c r="N90" i="6"/>
  <c r="N187" i="6"/>
  <c r="N171" i="6"/>
  <c r="N155" i="6"/>
  <c r="N139" i="6"/>
  <c r="N123" i="6"/>
  <c r="N106" i="6"/>
  <c r="N104" i="6"/>
  <c r="N198" i="6"/>
  <c r="N182" i="6"/>
  <c r="N166" i="6"/>
  <c r="N150" i="6"/>
  <c r="N134" i="6"/>
  <c r="N114" i="6"/>
  <c r="N112" i="6"/>
  <c r="N87" i="6"/>
  <c r="N83" i="6"/>
  <c r="N191" i="6"/>
  <c r="N175" i="6"/>
  <c r="N159" i="6"/>
  <c r="N143" i="6"/>
  <c r="N127" i="6"/>
  <c r="N118" i="6"/>
  <c r="N116" i="6"/>
  <c r="N95" i="6"/>
  <c r="N91" i="6"/>
  <c r="N26" i="6"/>
  <c r="N42" i="6"/>
  <c r="N58" i="6"/>
  <c r="N74" i="6"/>
  <c r="N85" i="6"/>
  <c r="N124" i="6"/>
  <c r="N147" i="6"/>
  <c r="N16" i="6"/>
  <c r="N20" i="6"/>
  <c r="N35" i="6"/>
  <c r="N51" i="6"/>
  <c r="N67" i="6"/>
  <c r="N109" i="6"/>
  <c r="N131" i="6"/>
  <c r="N202" i="6"/>
  <c r="N28" i="6"/>
  <c r="N37" i="6"/>
  <c r="N44" i="6"/>
  <c r="N53" i="6"/>
  <c r="N60" i="6"/>
  <c r="N69" i="6"/>
  <c r="N76" i="6"/>
  <c r="N101" i="6"/>
  <c r="N186" i="6"/>
  <c r="N189" i="6"/>
  <c r="N196" i="6"/>
  <c r="N30" i="6"/>
  <c r="N46" i="6"/>
  <c r="N62" i="6"/>
  <c r="N78" i="6"/>
  <c r="N107" i="6"/>
  <c r="N170" i="6"/>
  <c r="N173" i="6"/>
  <c r="N180" i="6"/>
  <c r="F4" i="6"/>
  <c r="N15" i="6"/>
  <c r="N19" i="6"/>
  <c r="N23" i="6"/>
  <c r="N39" i="6"/>
  <c r="N55" i="6"/>
  <c r="N71" i="6"/>
  <c r="N154" i="6"/>
  <c r="N157" i="6"/>
  <c r="N164" i="6"/>
  <c r="N193" i="6"/>
  <c r="N25" i="6"/>
  <c r="N32" i="6"/>
  <c r="N41" i="6"/>
  <c r="N48" i="6"/>
  <c r="N57" i="6"/>
  <c r="N64" i="6"/>
  <c r="N73" i="6"/>
  <c r="N80" i="6"/>
  <c r="N138" i="6"/>
  <c r="N141" i="6"/>
  <c r="N148" i="6"/>
  <c r="N177" i="6"/>
  <c r="N200" i="6"/>
  <c r="N34" i="6"/>
  <c r="N50" i="6"/>
  <c r="N66" i="6"/>
  <c r="N82" i="6"/>
  <c r="N105" i="6"/>
  <c r="N122" i="6"/>
  <c r="N125" i="6"/>
  <c r="N132" i="6"/>
  <c r="N161" i="6"/>
  <c r="N184" i="6"/>
  <c r="DB44" i="1"/>
  <c r="DB66" i="1"/>
  <c r="CK10" i="1"/>
  <c r="CK42" i="1"/>
  <c r="CK65" i="1"/>
  <c r="CK66" i="1"/>
  <c r="CK91" i="1"/>
  <c r="CK122" i="1"/>
  <c r="CK168" i="1"/>
  <c r="CK98" i="1"/>
  <c r="CK154" i="1"/>
  <c r="CK175" i="1"/>
  <c r="CK192" i="1"/>
  <c r="CK157" i="1"/>
  <c r="CK166" i="1"/>
  <c r="CK132" i="1"/>
  <c r="CK17" i="1"/>
  <c r="CK50" i="1"/>
  <c r="CK125" i="1"/>
  <c r="CK158" i="1"/>
  <c r="CK22" i="1"/>
  <c r="CK84" i="1"/>
  <c r="CK25" i="1"/>
  <c r="CK44" i="1"/>
  <c r="CK119" i="1"/>
  <c r="CK9" i="1"/>
  <c r="CK20" i="1"/>
  <c r="CK40" i="1"/>
  <c r="CK38" i="1"/>
  <c r="CK61" i="1"/>
  <c r="CK152" i="1"/>
  <c r="CK63" i="1"/>
  <c r="CK116" i="1"/>
  <c r="CK131" i="1"/>
  <c r="CK164" i="1"/>
  <c r="CK87" i="1"/>
  <c r="CK112" i="1"/>
  <c r="CK140" i="1"/>
  <c r="CK172" i="1"/>
  <c r="CK4" i="1"/>
  <c r="CK104" i="1"/>
  <c r="CK165" i="1"/>
  <c r="CI20" i="1"/>
  <c r="CI38" i="1"/>
  <c r="CI63" i="1"/>
  <c r="CI87" i="1"/>
  <c r="CI172" i="1"/>
  <c r="CK14" i="1"/>
  <c r="CK97" i="1"/>
  <c r="CK81" i="1"/>
  <c r="CK30" i="1"/>
  <c r="CK162" i="1"/>
  <c r="CK24" i="1"/>
  <c r="CK130" i="1"/>
  <c r="CK181" i="1"/>
  <c r="CK153" i="1"/>
  <c r="CK2" i="1"/>
  <c r="CK89" i="1"/>
  <c r="CK12" i="1"/>
  <c r="CK19" i="1"/>
  <c r="CK36" i="1"/>
  <c r="CK37" i="1"/>
  <c r="CK62" i="1"/>
  <c r="CK160" i="1"/>
  <c r="CK68" i="1"/>
  <c r="CK93" i="1"/>
  <c r="CK115" i="1"/>
  <c r="CK139" i="1"/>
  <c r="CK163" i="1"/>
  <c r="CK100" i="1"/>
  <c r="CK111" i="1"/>
  <c r="CK145" i="1"/>
  <c r="CK177" i="1"/>
  <c r="CK191" i="1"/>
  <c r="CK16" i="1"/>
  <c r="CK123" i="1"/>
  <c r="CK23" i="1"/>
  <c r="CK86" i="1"/>
  <c r="CK83" i="1"/>
  <c r="CK110" i="1"/>
  <c r="CK88" i="1"/>
  <c r="CI9" i="1"/>
  <c r="CI40" i="1"/>
  <c r="CI61" i="1"/>
  <c r="CI152" i="1"/>
  <c r="CI88" i="1"/>
  <c r="CI131" i="1"/>
  <c r="CI164" i="1"/>
  <c r="CI112" i="1"/>
  <c r="CI140" i="1"/>
  <c r="CK11" i="1"/>
  <c r="CK69" i="1"/>
  <c r="CL192" i="1"/>
  <c r="CK118" i="1"/>
  <c r="CK45" i="1"/>
  <c r="CK79" i="1"/>
  <c r="CK117" i="1"/>
  <c r="CK179" i="1"/>
  <c r="CK26" i="1"/>
  <c r="CK35" i="1"/>
  <c r="CK43" i="1"/>
  <c r="CK171" i="1"/>
  <c r="CK67" i="1"/>
  <c r="CK92" i="1"/>
  <c r="CK114" i="1"/>
  <c r="CK138" i="1"/>
  <c r="CK169" i="1"/>
  <c r="CK99" i="1"/>
  <c r="CK120" i="1"/>
  <c r="CK144" i="1"/>
  <c r="CK176" i="1"/>
  <c r="CK190" i="1"/>
  <c r="CK51" i="1"/>
  <c r="CK180" i="1"/>
  <c r="CK28" i="1"/>
  <c r="CK71" i="1"/>
  <c r="CK47" i="1"/>
  <c r="CK64" i="1"/>
  <c r="CK46" i="1"/>
  <c r="CK72" i="1"/>
  <c r="CK90" i="1"/>
  <c r="CK121" i="1"/>
  <c r="CK136" i="1"/>
  <c r="CK167" i="1"/>
  <c r="CK156" i="1"/>
  <c r="CK174" i="1"/>
  <c r="CK53" i="1"/>
  <c r="CK56" i="1"/>
  <c r="CK82" i="1"/>
  <c r="CK101" i="1"/>
  <c r="CK150" i="1"/>
  <c r="CK134" i="1"/>
  <c r="CK182" i="1"/>
  <c r="CK8" i="1"/>
  <c r="CK13" i="1"/>
  <c r="CK27" i="1"/>
  <c r="CK75" i="1"/>
  <c r="CK70" i="1"/>
  <c r="CK48" i="1"/>
  <c r="CK94" i="1"/>
  <c r="CK126" i="1"/>
  <c r="CK147" i="1"/>
  <c r="CK173" i="1"/>
  <c r="CK96" i="1"/>
  <c r="CK155" i="1"/>
  <c r="CK135" i="1"/>
  <c r="CK55" i="1"/>
  <c r="CK133" i="1"/>
  <c r="CK39" i="1"/>
  <c r="CK189" i="1"/>
  <c r="CK29" i="1"/>
  <c r="CK124" i="1"/>
  <c r="CK6" i="1"/>
  <c r="CK78" i="1"/>
  <c r="CK49" i="1"/>
  <c r="CK151" i="1"/>
  <c r="CK185" i="1"/>
  <c r="CK161" i="1"/>
  <c r="CK59" i="1"/>
  <c r="CK159" i="1"/>
  <c r="CK76" i="1"/>
  <c r="CK95" i="1"/>
  <c r="CI9" i="4"/>
  <c r="CK5" i="1"/>
  <c r="CK15" i="1"/>
  <c r="CK32" i="1"/>
  <c r="CK77" i="1"/>
  <c r="CK187" i="1"/>
  <c r="CK80" i="1"/>
  <c r="CK129" i="1"/>
  <c r="CK21" i="1"/>
  <c r="CK137" i="1"/>
  <c r="CK7" i="1"/>
  <c r="CK74" i="1"/>
  <c r="CK146" i="1"/>
  <c r="CK178" i="1"/>
  <c r="CK33" i="1"/>
  <c r="CK31" i="1"/>
  <c r="CK127" i="1"/>
  <c r="CK107" i="1"/>
  <c r="CK109" i="1"/>
  <c r="CK108" i="1"/>
  <c r="CK73" i="1"/>
  <c r="CK54" i="1"/>
  <c r="CK184" i="1"/>
  <c r="CK52" i="1"/>
  <c r="CK183" i="1"/>
  <c r="CK128" i="1"/>
  <c r="CK3" i="1"/>
  <c r="CK34" i="1"/>
  <c r="CK143" i="1"/>
  <c r="CK57" i="1"/>
  <c r="CK142" i="1"/>
  <c r="CK186" i="1"/>
  <c r="CK102" i="1"/>
  <c r="CK18" i="1"/>
  <c r="CK149" i="1"/>
  <c r="CK106" i="1"/>
  <c r="CK103" i="1"/>
  <c r="CK105" i="1"/>
  <c r="CK41" i="1"/>
  <c r="CK58" i="1"/>
  <c r="CK148" i="1"/>
  <c r="CK60" i="1"/>
  <c r="CK85" i="1"/>
  <c r="CK113" i="1"/>
  <c r="CK141" i="1"/>
  <c r="CK170" i="1"/>
  <c r="CK188" i="1"/>
  <c r="CI139" i="1"/>
  <c r="CI10" i="1"/>
  <c r="CI66" i="1"/>
  <c r="CI98" i="1"/>
  <c r="CI126" i="1"/>
  <c r="CI5" i="1"/>
  <c r="CI59" i="1"/>
  <c r="CI93" i="1"/>
  <c r="CI111" i="1"/>
  <c r="CI42" i="1"/>
  <c r="CI137" i="1"/>
  <c r="CI119" i="1"/>
  <c r="CI70" i="1"/>
  <c r="CI34" i="1"/>
  <c r="CI143" i="1"/>
  <c r="CI57" i="1"/>
  <c r="CI84" i="1"/>
  <c r="CI128" i="1"/>
  <c r="CI153" i="1"/>
  <c r="CI142" i="1"/>
  <c r="CI165" i="1"/>
  <c r="CI186" i="1"/>
  <c r="CI58" i="1"/>
  <c r="CI116" i="1"/>
  <c r="CI163" i="1"/>
  <c r="CI12" i="1"/>
  <c r="CI3" i="1"/>
  <c r="CI22" i="1"/>
  <c r="CI33" i="1"/>
  <c r="CI39" i="1"/>
  <c r="CI148" i="1"/>
  <c r="CI60" i="1"/>
  <c r="CI89" i="1"/>
  <c r="CI132" i="1"/>
  <c r="CI85" i="1"/>
  <c r="CI113" i="1"/>
  <c r="CI188" i="1"/>
  <c r="CI115" i="1"/>
  <c r="CI11" i="1"/>
  <c r="CI26" i="1"/>
  <c r="CI35" i="1"/>
  <c r="CI43" i="1"/>
  <c r="CI171" i="1"/>
  <c r="CI67" i="1"/>
  <c r="CI92" i="1"/>
  <c r="CI114" i="1"/>
  <c r="CI138" i="1"/>
  <c r="CI169" i="1"/>
  <c r="CI99" i="1"/>
  <c r="CI144" i="1"/>
  <c r="CI176" i="1"/>
  <c r="CI190" i="1"/>
  <c r="CI160" i="1"/>
  <c r="CI177" i="1"/>
  <c r="CI44" i="1"/>
  <c r="CI122" i="1"/>
  <c r="CI191" i="1"/>
  <c r="CI25" i="1"/>
  <c r="CI91" i="1"/>
  <c r="CI168" i="1"/>
  <c r="CI94" i="1"/>
  <c r="CI32" i="1"/>
  <c r="CI83" i="1"/>
  <c r="CI2" i="1"/>
  <c r="CI141" i="1"/>
  <c r="CI189" i="1"/>
  <c r="CI36" i="1"/>
  <c r="CI68" i="1"/>
  <c r="CI69" i="1"/>
  <c r="CI62" i="1"/>
  <c r="CI145" i="1"/>
  <c r="CI184" i="1"/>
  <c r="CI175" i="1"/>
  <c r="CI21" i="4"/>
  <c r="CI120" i="1"/>
  <c r="CI37" i="1"/>
  <c r="CI100" i="1"/>
  <c r="CI65" i="1"/>
  <c r="CI154" i="1"/>
  <c r="CI53" i="1"/>
  <c r="CI82" i="1"/>
  <c r="CI101" i="1"/>
  <c r="CI182" i="1"/>
  <c r="CI23" i="1"/>
  <c r="CI14" i="1"/>
  <c r="CI28" i="1"/>
  <c r="CI71" i="1"/>
  <c r="CI46" i="1"/>
  <c r="CI72" i="1"/>
  <c r="CI136" i="1"/>
  <c r="CI167" i="1"/>
  <c r="CI156" i="1"/>
  <c r="CI174" i="1"/>
  <c r="CI8" i="1"/>
  <c r="CI13" i="1"/>
  <c r="CI27" i="1"/>
  <c r="CI75" i="1"/>
  <c r="CI45" i="1"/>
  <c r="CI48" i="1"/>
  <c r="CI79" i="1"/>
  <c r="CI147" i="1"/>
  <c r="CI173" i="1"/>
  <c r="CI96" i="1"/>
  <c r="CI117" i="1"/>
  <c r="CI155" i="1"/>
  <c r="CI179" i="1"/>
  <c r="CI30" i="1"/>
  <c r="CI157" i="1"/>
  <c r="CI80" i="1"/>
  <c r="CI185" i="1"/>
  <c r="CI180" i="1"/>
  <c r="CI29" i="1"/>
  <c r="CI76" i="1"/>
  <c r="CI74" i="1"/>
  <c r="CI81" i="1"/>
  <c r="CI103" i="1"/>
  <c r="CI125" i="1"/>
  <c r="CI183" i="1"/>
  <c r="CI178" i="1"/>
  <c r="CI56" i="1"/>
  <c r="CI150" i="1"/>
  <c r="CI161" i="1"/>
  <c r="CI86" i="1"/>
  <c r="CI21" i="1"/>
  <c r="CI181" i="1"/>
  <c r="CI19" i="1"/>
  <c r="CI3" i="4"/>
  <c r="CI73" i="1"/>
  <c r="CI133" i="1"/>
  <c r="CI4" i="1"/>
  <c r="CI31" i="1"/>
  <c r="CI41" i="1"/>
  <c r="CI110" i="1"/>
  <c r="CI149" i="1"/>
  <c r="CI130" i="1"/>
  <c r="CI166" i="1"/>
  <c r="CI15" i="1"/>
  <c r="CI159" i="1"/>
  <c r="CI18" i="1"/>
  <c r="CI170" i="1"/>
  <c r="CI108" i="1"/>
  <c r="CI187" i="1"/>
  <c r="CI7" i="1"/>
  <c r="CI127" i="1"/>
  <c r="CI6" i="1"/>
  <c r="CI129" i="1"/>
  <c r="CI134" i="1"/>
  <c r="CI17" i="1"/>
  <c r="CI50" i="1"/>
  <c r="CI146" i="1"/>
  <c r="CI158" i="1"/>
  <c r="CI16" i="1"/>
  <c r="CI49" i="1"/>
  <c r="CI151" i="1"/>
  <c r="CI162" i="1"/>
  <c r="CI47" i="1"/>
  <c r="CI90" i="1"/>
  <c r="CI97" i="1"/>
  <c r="CI123" i="1"/>
  <c r="CI135" i="1"/>
  <c r="CI64" i="1"/>
  <c r="CI121" i="1"/>
  <c r="CI118" i="1"/>
  <c r="CI124" i="1"/>
  <c r="CI78" i="1"/>
  <c r="CI52" i="1"/>
  <c r="CI95" i="1"/>
  <c r="CI77" i="1"/>
  <c r="CI51" i="1"/>
  <c r="CI102" i="1"/>
  <c r="CI109" i="1"/>
  <c r="CI55" i="1"/>
  <c r="CI104" i="1"/>
  <c r="CI107" i="1"/>
  <c r="CI54" i="1"/>
  <c r="CI105" i="1"/>
  <c r="CI106" i="1"/>
  <c r="CI24" i="1"/>
  <c r="CI20" i="4"/>
  <c r="CI8" i="4"/>
  <c r="CF9" i="4"/>
  <c r="CI6" i="4"/>
  <c r="CI19" i="4"/>
  <c r="CI18" i="4"/>
  <c r="CI5" i="4"/>
  <c r="CF21" i="4"/>
  <c r="CI7" i="4"/>
  <c r="CH13" i="4"/>
  <c r="CI13" i="4"/>
  <c r="CI15" i="4"/>
  <c r="CI17" i="4"/>
  <c r="CF20" i="4"/>
  <c r="CF8" i="4"/>
  <c r="CF5" i="4"/>
  <c r="CI4" i="4"/>
  <c r="CL10" i="1"/>
  <c r="CI14" i="4"/>
  <c r="CI2" i="4"/>
  <c r="CF18" i="4"/>
  <c r="CF17" i="4"/>
  <c r="CI16" i="4"/>
  <c r="CF16" i="4"/>
  <c r="CF4" i="4"/>
  <c r="CF19" i="4"/>
  <c r="CF15" i="4"/>
  <c r="CF14" i="4"/>
  <c r="CH2" i="4"/>
  <c r="CH24" i="4"/>
  <c r="CH12" i="4"/>
  <c r="CL7" i="1"/>
  <c r="CL52" i="1"/>
  <c r="CH23" i="4"/>
  <c r="CH11" i="4"/>
  <c r="CH22" i="4"/>
  <c r="CH10" i="4"/>
  <c r="CH21" i="4"/>
  <c r="CH9" i="4"/>
  <c r="CH20" i="4"/>
  <c r="CH8" i="4"/>
  <c r="CH19" i="4"/>
  <c r="CH7" i="4"/>
  <c r="CH18" i="4"/>
  <c r="CH6" i="4"/>
  <c r="CH17" i="4"/>
  <c r="CH5" i="4"/>
  <c r="CH16" i="4"/>
  <c r="CH4" i="4"/>
  <c r="CH15" i="4"/>
  <c r="CH3" i="4"/>
  <c r="CF3" i="4"/>
  <c r="CF13" i="4"/>
  <c r="CI24" i="4"/>
  <c r="CI12" i="4"/>
  <c r="CL162" i="1"/>
  <c r="CL180" i="1"/>
  <c r="CF12" i="4"/>
  <c r="CF7" i="4"/>
  <c r="CF6" i="4"/>
  <c r="CF23" i="4"/>
  <c r="CF11" i="4"/>
  <c r="CL73" i="1"/>
  <c r="CL107" i="1"/>
  <c r="CL133" i="1"/>
  <c r="CF24" i="4"/>
  <c r="CF22" i="4"/>
  <c r="CF10" i="4"/>
  <c r="CH14" i="4"/>
  <c r="CL64" i="1"/>
  <c r="CF2" i="4"/>
  <c r="CI10" i="4"/>
  <c r="CI11" i="4"/>
  <c r="CI22" i="4"/>
  <c r="CI23" i="4"/>
  <c r="CL132" i="1"/>
  <c r="CL159" i="1"/>
  <c r="CL88" i="1"/>
  <c r="CL116" i="1"/>
  <c r="CL36" i="1"/>
  <c r="CL160" i="1"/>
  <c r="CL68" i="1"/>
  <c r="CL14" i="1"/>
  <c r="CL26" i="1"/>
  <c r="CL35" i="1"/>
  <c r="CL33" i="1"/>
  <c r="CL51" i="1"/>
  <c r="CL70" i="1"/>
  <c r="CL171" i="1"/>
  <c r="CL67" i="1"/>
  <c r="CL93" i="1"/>
  <c r="CL115" i="1"/>
  <c r="CL131" i="1"/>
  <c r="CL164" i="1"/>
  <c r="CL83" i="1"/>
  <c r="CL106" i="1"/>
  <c r="CL142" i="1"/>
  <c r="CL161" i="1"/>
  <c r="CL182" i="1"/>
  <c r="CL44" i="1"/>
  <c r="CL66" i="1"/>
  <c r="CL92" i="1"/>
  <c r="CL139" i="1"/>
  <c r="CL141" i="1"/>
  <c r="CL181" i="1"/>
  <c r="CL25" i="1"/>
  <c r="CL184" i="1"/>
  <c r="CL114" i="1"/>
  <c r="CL163" i="1"/>
  <c r="CL113" i="1"/>
  <c r="CL13" i="1"/>
  <c r="CL85" i="1"/>
  <c r="CL39" i="1"/>
  <c r="CL166" i="1"/>
  <c r="CL6" i="1"/>
  <c r="CL17" i="1"/>
  <c r="CL28" i="1"/>
  <c r="CL38" i="1"/>
  <c r="CL53" i="1"/>
  <c r="CL74" i="1"/>
  <c r="CL46" i="1"/>
  <c r="CL72" i="1"/>
  <c r="CL91" i="1"/>
  <c r="CL122" i="1"/>
  <c r="CL138" i="1"/>
  <c r="CL169" i="1"/>
  <c r="CL87" i="1"/>
  <c r="CL112" i="1"/>
  <c r="CL140" i="1"/>
  <c r="CL165" i="1"/>
  <c r="CL186" i="1"/>
  <c r="CL5" i="1"/>
  <c r="CL16" i="1"/>
  <c r="CL27" i="1"/>
  <c r="CL37" i="1"/>
  <c r="CL55" i="1"/>
  <c r="CL78" i="1"/>
  <c r="CL48" i="1"/>
  <c r="CL79" i="1"/>
  <c r="CL90" i="1"/>
  <c r="CL121" i="1"/>
  <c r="CL137" i="1"/>
  <c r="CL168" i="1"/>
  <c r="CL100" i="1"/>
  <c r="CL111" i="1"/>
  <c r="CL145" i="1"/>
  <c r="CL170" i="1"/>
  <c r="CL188" i="1"/>
  <c r="CL4" i="1"/>
  <c r="CL15" i="1"/>
  <c r="CL29" i="1"/>
  <c r="CL71" i="1"/>
  <c r="CL54" i="1"/>
  <c r="CL77" i="1"/>
  <c r="CL50" i="1"/>
  <c r="CL81" i="1"/>
  <c r="CL94" i="1"/>
  <c r="CL136" i="1"/>
  <c r="CL167" i="1"/>
  <c r="CL99" i="1"/>
  <c r="CL120" i="1"/>
  <c r="CL144" i="1"/>
  <c r="CL172" i="1"/>
  <c r="CL189" i="1"/>
  <c r="CL3" i="1"/>
  <c r="CL18" i="1"/>
  <c r="CL30" i="1"/>
  <c r="CL75" i="1"/>
  <c r="CL43" i="1"/>
  <c r="CL58" i="1"/>
  <c r="CL127" i="1"/>
  <c r="CL49" i="1"/>
  <c r="CL80" i="1"/>
  <c r="CL103" i="1"/>
  <c r="CL126" i="1"/>
  <c r="CL147" i="1"/>
  <c r="CL98" i="1"/>
  <c r="CL119" i="1"/>
  <c r="CL154" i="1"/>
  <c r="CL177" i="1"/>
  <c r="CL191" i="1"/>
  <c r="CL2" i="1"/>
  <c r="CL22" i="1"/>
  <c r="CL32" i="1"/>
  <c r="CL76" i="1"/>
  <c r="CL42" i="1"/>
  <c r="CL56" i="1"/>
  <c r="CL102" i="1"/>
  <c r="CL125" i="1"/>
  <c r="CL146" i="1"/>
  <c r="CL173" i="1"/>
  <c r="CL97" i="1"/>
  <c r="CL118" i="1"/>
  <c r="CL176" i="1"/>
  <c r="CL190" i="1"/>
  <c r="CL21" i="1"/>
  <c r="CL31" i="1"/>
  <c r="CL47" i="1"/>
  <c r="CL61" i="1"/>
  <c r="CL143" i="1"/>
  <c r="CL59" i="1"/>
  <c r="CL82" i="1"/>
  <c r="CL101" i="1"/>
  <c r="CL123" i="1"/>
  <c r="CL151" i="1"/>
  <c r="CL183" i="1"/>
  <c r="CL96" i="1"/>
  <c r="CL117" i="1"/>
  <c r="CL175" i="1"/>
  <c r="CL9" i="1"/>
  <c r="CL20" i="1"/>
  <c r="CL34" i="1"/>
  <c r="CL157" i="1"/>
  <c r="CL62" i="1"/>
  <c r="CL148" i="1"/>
  <c r="CL57" i="1"/>
  <c r="CL86" i="1"/>
  <c r="CL104" i="1"/>
  <c r="CL130" i="1"/>
  <c r="CL150" i="1"/>
  <c r="CL185" i="1"/>
  <c r="CL95" i="1"/>
  <c r="CL124" i="1"/>
  <c r="CL156" i="1"/>
  <c r="CL174" i="1"/>
  <c r="CL12" i="1"/>
  <c r="CL19" i="1"/>
  <c r="CL41" i="1"/>
  <c r="CL24" i="1"/>
  <c r="CL45" i="1"/>
  <c r="CL69" i="1"/>
  <c r="CL152" i="1"/>
  <c r="CL60" i="1"/>
  <c r="CL84" i="1"/>
  <c r="CL105" i="1"/>
  <c r="CL129" i="1"/>
  <c r="CL149" i="1"/>
  <c r="CL187" i="1"/>
  <c r="CL109" i="1"/>
  <c r="CL135" i="1"/>
  <c r="CL155" i="1"/>
  <c r="CL179" i="1"/>
  <c r="CL8" i="1"/>
  <c r="CL11" i="1"/>
  <c r="CL40" i="1"/>
  <c r="CL23" i="1"/>
  <c r="CL65" i="1"/>
  <c r="CL63" i="1"/>
  <c r="CL89" i="1"/>
  <c r="CL110" i="1"/>
  <c r="CL128" i="1"/>
  <c r="CL153" i="1"/>
  <c r="CL108" i="1"/>
  <c r="CL134" i="1"/>
  <c r="CL158" i="1"/>
  <c r="CL178" i="1"/>
  <c r="BS190" i="1"/>
  <c r="BS191" i="1"/>
  <c r="BS189" i="1"/>
  <c r="BS188" i="1"/>
  <c r="BS186" i="1"/>
  <c r="BS181" i="1"/>
  <c r="BS182" i="1"/>
  <c r="BS180" i="1"/>
  <c r="BS178" i="1"/>
  <c r="BS179" i="1"/>
  <c r="BS174" i="1"/>
  <c r="BS175" i="1"/>
  <c r="BS176" i="1"/>
  <c r="BS177" i="1"/>
  <c r="BS172" i="1"/>
  <c r="BS170" i="1"/>
  <c r="BS165" i="1"/>
  <c r="BS166" i="1"/>
  <c r="BS161" i="1"/>
  <c r="BS162" i="1"/>
  <c r="BS158" i="1"/>
  <c r="BS155" i="1"/>
  <c r="BS156" i="1"/>
  <c r="BS154" i="1"/>
  <c r="BS144" i="1"/>
  <c r="BS145" i="1"/>
  <c r="BS140" i="1"/>
  <c r="BS141" i="1"/>
  <c r="BS142" i="1"/>
  <c r="BS133" i="1"/>
  <c r="BS134" i="1"/>
  <c r="BS135" i="1"/>
  <c r="BS124" i="1"/>
  <c r="BS117" i="1"/>
  <c r="BS118" i="1"/>
  <c r="BS119" i="1"/>
  <c r="BS120" i="1"/>
  <c r="BS111" i="1"/>
  <c r="BS112" i="1"/>
  <c r="BS113" i="1"/>
  <c r="BS106" i="1"/>
  <c r="BS107" i="1"/>
  <c r="BS108" i="1"/>
  <c r="BS109" i="1"/>
  <c r="BS95" i="1"/>
  <c r="BS96" i="1"/>
  <c r="BS97" i="1"/>
  <c r="BS98" i="1"/>
  <c r="BS99" i="1"/>
  <c r="BS100" i="1"/>
  <c r="BS87" i="1"/>
  <c r="BS85" i="1"/>
  <c r="BS83" i="1"/>
  <c r="BS73" i="1"/>
  <c r="BS187" i="1"/>
  <c r="BS185" i="1"/>
  <c r="BS183" i="1"/>
  <c r="BS173" i="1"/>
  <c r="BS167" i="1"/>
  <c r="BS168" i="1"/>
  <c r="BS169" i="1"/>
  <c r="BS163" i="1"/>
  <c r="BS164" i="1"/>
  <c r="BS159" i="1"/>
  <c r="BS153" i="1"/>
  <c r="BS149" i="1"/>
  <c r="BS150" i="1"/>
  <c r="BS151" i="1"/>
  <c r="BS146" i="1"/>
  <c r="BS147" i="1"/>
  <c r="BS136" i="1"/>
  <c r="BS137" i="1"/>
  <c r="BS138" i="1"/>
  <c r="BS139" i="1"/>
  <c r="BS131" i="1"/>
  <c r="BS132" i="1"/>
  <c r="BS128" i="1"/>
  <c r="BS129" i="1"/>
  <c r="BS130" i="1"/>
  <c r="BS123" i="1"/>
  <c r="BS125" i="1"/>
  <c r="BS126" i="1"/>
  <c r="BS121" i="1"/>
  <c r="BS122" i="1"/>
  <c r="BS114" i="1"/>
  <c r="BS115" i="1"/>
  <c r="BS116" i="1"/>
  <c r="BS110" i="1"/>
  <c r="BS105" i="1"/>
  <c r="BS104" i="1"/>
  <c r="BS101" i="1"/>
  <c r="BS102" i="1"/>
  <c r="BS103" i="1"/>
  <c r="BS94" i="1"/>
  <c r="BS90" i="1"/>
  <c r="BS91" i="1"/>
  <c r="BS92" i="1"/>
  <c r="BS93" i="1"/>
  <c r="BS88" i="1"/>
  <c r="BS89" i="1"/>
  <c r="BS84" i="1"/>
  <c r="BS86" i="1"/>
  <c r="BS82" i="1"/>
  <c r="BS80" i="1"/>
  <c r="BS81" i="1"/>
  <c r="BS79" i="1"/>
  <c r="BS72" i="1"/>
  <c r="BS66" i="1"/>
  <c r="BS67" i="1"/>
  <c r="BS68" i="1"/>
  <c r="BS63" i="1"/>
  <c r="BS60" i="1"/>
  <c r="BS57" i="1"/>
  <c r="BS59" i="1"/>
  <c r="BS56" i="1"/>
  <c r="BS49" i="1"/>
  <c r="BS50" i="1"/>
  <c r="BS48" i="1"/>
  <c r="BS46" i="1"/>
  <c r="BS184" i="1"/>
  <c r="BS171" i="1"/>
  <c r="BS160" i="1"/>
  <c r="BS152" i="1"/>
  <c r="BS148" i="1"/>
  <c r="BS143" i="1"/>
  <c r="BS127" i="1"/>
  <c r="BS77" i="1"/>
  <c r="BS78" i="1"/>
  <c r="BS74" i="1"/>
  <c r="BS70" i="1"/>
  <c r="BS64" i="1"/>
  <c r="BS65" i="1"/>
  <c r="BS69" i="1"/>
  <c r="BS62" i="1"/>
  <c r="BS61" i="1"/>
  <c r="BS58" i="1"/>
  <c r="BS54" i="1"/>
  <c r="BS55" i="1"/>
  <c r="BS53" i="1"/>
  <c r="BS51" i="1"/>
  <c r="BS52" i="1"/>
  <c r="BS45" i="1"/>
  <c r="BS47" i="1"/>
  <c r="BS42" i="1"/>
  <c r="BS43" i="1"/>
  <c r="BS37" i="1"/>
  <c r="BS38" i="1"/>
  <c r="BS39" i="1"/>
  <c r="BS33" i="1"/>
  <c r="BS23" i="1"/>
  <c r="BS24" i="1"/>
  <c r="BS157" i="1"/>
  <c r="BS76" i="1"/>
  <c r="BS75" i="1"/>
  <c r="BS71" i="1"/>
  <c r="BS44" i="1"/>
  <c r="BS35" i="1"/>
  <c r="BS36" i="1"/>
  <c r="BS40" i="1"/>
  <c r="BS41" i="1"/>
  <c r="BS34" i="1"/>
  <c r="BS31" i="1"/>
  <c r="BS32" i="1"/>
  <c r="BS30" i="1"/>
  <c r="BS29" i="1"/>
  <c r="BS27" i="1"/>
  <c r="BS28" i="1"/>
  <c r="BS25" i="1"/>
  <c r="BS26" i="1"/>
  <c r="BS19" i="1"/>
  <c r="BS20" i="1"/>
  <c r="BS21" i="1"/>
  <c r="BS22" i="1"/>
  <c r="BS18" i="1"/>
  <c r="BS15" i="1"/>
  <c r="BS16" i="1"/>
  <c r="BS17" i="1"/>
  <c r="BS13" i="1"/>
  <c r="BS14" i="1"/>
  <c r="BS10" i="1"/>
  <c r="BS11" i="1"/>
  <c r="BS12" i="1"/>
  <c r="BS9" i="1"/>
  <c r="BS2" i="1"/>
  <c r="BS3" i="1"/>
  <c r="BS4" i="1"/>
  <c r="BS5" i="1"/>
  <c r="BS6" i="1"/>
  <c r="BS7" i="1"/>
  <c r="BS8" i="1"/>
  <c r="BS192" i="1"/>
  <c r="CW14" i="1" l="1"/>
  <c r="CS18" i="4"/>
  <c r="CS11" i="4"/>
  <c r="CS9" i="4"/>
  <c r="CV24" i="4"/>
  <c r="CV6" i="1"/>
  <c r="CW6" i="1" s="1"/>
  <c r="CT11" i="4"/>
  <c r="DA153" i="1"/>
  <c r="DB153" i="1"/>
  <c r="CW5" i="1"/>
  <c r="CS2" i="4"/>
  <c r="CT17" i="4"/>
  <c r="CT24" i="4"/>
  <c r="CV8" i="1"/>
  <c r="CW8" i="1" s="1"/>
  <c r="CS19" i="4"/>
  <c r="DA81" i="1"/>
  <c r="DD81" i="1" s="1"/>
  <c r="CT13" i="4"/>
  <c r="DD190" i="1"/>
  <c r="DE190" i="1"/>
  <c r="DA88" i="1"/>
  <c r="DB88" i="1"/>
  <c r="DB64" i="1"/>
  <c r="DA64" i="1"/>
  <c r="DD64" i="1" s="1"/>
  <c r="DB53" i="1"/>
  <c r="DA53" i="1"/>
  <c r="DE53" i="1" s="1"/>
  <c r="DA131" i="1"/>
  <c r="DD131" i="1" s="1"/>
  <c r="DB131" i="1"/>
  <c r="DA150" i="1"/>
  <c r="DB150" i="1"/>
  <c r="DA56" i="1"/>
  <c r="DD56" i="1" s="1"/>
  <c r="DB56" i="1"/>
  <c r="DA91" i="1"/>
  <c r="DB91" i="1"/>
  <c r="DA149" i="1"/>
  <c r="DB149" i="1"/>
  <c r="DB27" i="1"/>
  <c r="DA27" i="1"/>
  <c r="DE27" i="1" s="1"/>
  <c r="DB26" i="1"/>
  <c r="DA26" i="1"/>
  <c r="DE26" i="1" s="1"/>
  <c r="DB68" i="1"/>
  <c r="CT19" i="4"/>
  <c r="CT8" i="4"/>
  <c r="CY17" i="1"/>
  <c r="DA17" i="1" s="1"/>
  <c r="DD17" i="1" s="1"/>
  <c r="CT10" i="4"/>
  <c r="CS14" i="4"/>
  <c r="CV23" i="1"/>
  <c r="CW23" i="1" s="1"/>
  <c r="CV23" i="4" s="1"/>
  <c r="DB59" i="1"/>
  <c r="CY11" i="1"/>
  <c r="DA11" i="1" s="1"/>
  <c r="DB190" i="1"/>
  <c r="DD188" i="1"/>
  <c r="DE188" i="1"/>
  <c r="DB181" i="1"/>
  <c r="DB177" i="1"/>
  <c r="DA177" i="1"/>
  <c r="DE177" i="1" s="1"/>
  <c r="DB182" i="1"/>
  <c r="DB180" i="1"/>
  <c r="DE181" i="1"/>
  <c r="DB134" i="1"/>
  <c r="DA134" i="1"/>
  <c r="DD134" i="1" s="1"/>
  <c r="DA170" i="1"/>
  <c r="DD170" i="1" s="1"/>
  <c r="DB170" i="1"/>
  <c r="DA160" i="1"/>
  <c r="DE160" i="1" s="1"/>
  <c r="DE131" i="1"/>
  <c r="DA108" i="1"/>
  <c r="DB108" i="1"/>
  <c r="DA105" i="1"/>
  <c r="DE105" i="1" s="1"/>
  <c r="DB99" i="1"/>
  <c r="DE99" i="1"/>
  <c r="DB75" i="1"/>
  <c r="DA62" i="1"/>
  <c r="DD62" i="1" s="1"/>
  <c r="DB62" i="1"/>
  <c r="DB55" i="1"/>
  <c r="DE59" i="1"/>
  <c r="DE55" i="1"/>
  <c r="DB45" i="1"/>
  <c r="CT15" i="4"/>
  <c r="CT20" i="4"/>
  <c r="CT22" i="4"/>
  <c r="CW3" i="1"/>
  <c r="CT23" i="4"/>
  <c r="CY14" i="1"/>
  <c r="DA14" i="1" s="1"/>
  <c r="DA148" i="1"/>
  <c r="DB148" i="1"/>
  <c r="DA185" i="1"/>
  <c r="DB185" i="1"/>
  <c r="DB106" i="1"/>
  <c r="DA106" i="1"/>
  <c r="DD106" i="1" s="1"/>
  <c r="DA33" i="1"/>
  <c r="DB33" i="1"/>
  <c r="DA171" i="1"/>
  <c r="DD171" i="1" s="1"/>
  <c r="DB171" i="1"/>
  <c r="DA142" i="1"/>
  <c r="DB142" i="1"/>
  <c r="DB165" i="1"/>
  <c r="DA165" i="1"/>
  <c r="DE165" i="1" s="1"/>
  <c r="DA51" i="1"/>
  <c r="DB51" i="1"/>
  <c r="CY21" i="1"/>
  <c r="CV21" i="4"/>
  <c r="DA87" i="1"/>
  <c r="DB87" i="1"/>
  <c r="DA189" i="1"/>
  <c r="DB189" i="1"/>
  <c r="DA86" i="1"/>
  <c r="DB86" i="1"/>
  <c r="DA60" i="1"/>
  <c r="DB60" i="1"/>
  <c r="DA47" i="1"/>
  <c r="DB47" i="1"/>
  <c r="DB54" i="1"/>
  <c r="DA54" i="1"/>
  <c r="DD54" i="1" s="1"/>
  <c r="DA104" i="1"/>
  <c r="DB104" i="1"/>
  <c r="DA28" i="1"/>
  <c r="DB28" i="1"/>
  <c r="DA107" i="1"/>
  <c r="DB107" i="1"/>
  <c r="DB29" i="1"/>
  <c r="DA29" i="1"/>
  <c r="DE29" i="1" s="1"/>
  <c r="DA178" i="1"/>
  <c r="DB178" i="1"/>
  <c r="DA76" i="1"/>
  <c r="DB76" i="1"/>
  <c r="CY22" i="1"/>
  <c r="CV22" i="4"/>
  <c r="DB71" i="1"/>
  <c r="DA71" i="1"/>
  <c r="DE71" i="1" s="1"/>
  <c r="CY18" i="1"/>
  <c r="CV18" i="4"/>
  <c r="DA161" i="1"/>
  <c r="DB161" i="1"/>
  <c r="DA94" i="1"/>
  <c r="DB94" i="1"/>
  <c r="DA112" i="1"/>
  <c r="DB112" i="1"/>
  <c r="DB155" i="1"/>
  <c r="DA155" i="1"/>
  <c r="DD155" i="1" s="1"/>
  <c r="DA128" i="1"/>
  <c r="DB128" i="1"/>
  <c r="DA117" i="1"/>
  <c r="DB117" i="1"/>
  <c r="CY19" i="1"/>
  <c r="CV19" i="4"/>
  <c r="DA34" i="1"/>
  <c r="DD34" i="1" s="1"/>
  <c r="DB34" i="1"/>
  <c r="DA61" i="1"/>
  <c r="DB61" i="1"/>
  <c r="DA70" i="1"/>
  <c r="DB70" i="1"/>
  <c r="DA77" i="1"/>
  <c r="DB77" i="1"/>
  <c r="DA152" i="1"/>
  <c r="DB152" i="1"/>
  <c r="DA167" i="1"/>
  <c r="DB167" i="1"/>
  <c r="DA176" i="1"/>
  <c r="DB176" i="1"/>
  <c r="CY20" i="1"/>
  <c r="CV20" i="4"/>
  <c r="DA122" i="1"/>
  <c r="DB122" i="1"/>
  <c r="DA90" i="1"/>
  <c r="DB90" i="1"/>
  <c r="DA175" i="1"/>
  <c r="DB175" i="1"/>
  <c r="DA147" i="1"/>
  <c r="DB147" i="1"/>
  <c r="DA48" i="1"/>
  <c r="DB48" i="1"/>
  <c r="DA144" i="1"/>
  <c r="DB144" i="1"/>
  <c r="CV13" i="4"/>
  <c r="DA31" i="1"/>
  <c r="DB31" i="1"/>
  <c r="DA58" i="1"/>
  <c r="DB58" i="1"/>
  <c r="DB184" i="1"/>
  <c r="DA184" i="1"/>
  <c r="DD184" i="1" s="1"/>
  <c r="DA145" i="1"/>
  <c r="DB145" i="1"/>
  <c r="DA42" i="1"/>
  <c r="DB42" i="1"/>
  <c r="DA63" i="1"/>
  <c r="DB63" i="1"/>
  <c r="DA46" i="1"/>
  <c r="DB46" i="1"/>
  <c r="DA35" i="1"/>
  <c r="DB35" i="1"/>
  <c r="DA140" i="1"/>
  <c r="DD140" i="1" s="1"/>
  <c r="DB140" i="1"/>
  <c r="DA111" i="1"/>
  <c r="DB111" i="1"/>
  <c r="DA52" i="1"/>
  <c r="DB52" i="1"/>
  <c r="DA74" i="1"/>
  <c r="DB74" i="1"/>
  <c r="DA92" i="1"/>
  <c r="DB92" i="1"/>
  <c r="DA85" i="1"/>
  <c r="DB85" i="1"/>
  <c r="DB36" i="1"/>
  <c r="DA36" i="1"/>
  <c r="DD36" i="1" s="1"/>
  <c r="DA116" i="1"/>
  <c r="DB116" i="1"/>
  <c r="DA41" i="1"/>
  <c r="DB41" i="1"/>
  <c r="DA65" i="1"/>
  <c r="DB65" i="1"/>
  <c r="DA173" i="1"/>
  <c r="DB173" i="1"/>
  <c r="DA141" i="1"/>
  <c r="DB141" i="1"/>
  <c r="CV15" i="4"/>
  <c r="DA103" i="1"/>
  <c r="DB103" i="1"/>
  <c r="DA83" i="1"/>
  <c r="DB83" i="1"/>
  <c r="DA82" i="1"/>
  <c r="DB82" i="1"/>
  <c r="DA121" i="1"/>
  <c r="DB121" i="1"/>
  <c r="DA146" i="1"/>
  <c r="DB146" i="1"/>
  <c r="DA113" i="1"/>
  <c r="DB113" i="1"/>
  <c r="DA32" i="1"/>
  <c r="DB32" i="1"/>
  <c r="DA43" i="1"/>
  <c r="DB43" i="1"/>
  <c r="DB39" i="1"/>
  <c r="DA39" i="1"/>
  <c r="DE39" i="1" s="1"/>
  <c r="DA192" i="1"/>
  <c r="DB192" i="1"/>
  <c r="DA169" i="1"/>
  <c r="DB169" i="1"/>
  <c r="DE187" i="1"/>
  <c r="DD187" i="1"/>
  <c r="CZ5" i="4"/>
  <c r="DC5" i="1"/>
  <c r="DB67" i="1"/>
  <c r="DE157" i="1"/>
  <c r="CZ17" i="4"/>
  <c r="DC17" i="1"/>
  <c r="DA129" i="1"/>
  <c r="DA123" i="1"/>
  <c r="DD45" i="1"/>
  <c r="DE45" i="1"/>
  <c r="CY10" i="1"/>
  <c r="CV10" i="4"/>
  <c r="DA154" i="1"/>
  <c r="DC2" i="1"/>
  <c r="CZ2" i="4"/>
  <c r="DA69" i="1"/>
  <c r="DA38" i="1"/>
  <c r="DE38" i="1" s="1"/>
  <c r="DB188" i="1"/>
  <c r="DA95" i="1"/>
  <c r="DD95" i="1" s="1"/>
  <c r="DE101" i="1"/>
  <c r="DE151" i="1"/>
  <c r="CW4" i="1"/>
  <c r="CX6" i="1"/>
  <c r="CY6" i="1" s="1"/>
  <c r="CU6" i="4"/>
  <c r="CZ14" i="4"/>
  <c r="DC14" i="1"/>
  <c r="DA102" i="1"/>
  <c r="DA119" i="1"/>
  <c r="DA163" i="1"/>
  <c r="CZ24" i="4"/>
  <c r="DC24" i="1"/>
  <c r="CX13" i="1"/>
  <c r="CY13" i="1" s="1"/>
  <c r="CU13" i="4"/>
  <c r="DB93" i="1"/>
  <c r="DA79" i="1"/>
  <c r="CU20" i="4"/>
  <c r="CX20" i="1"/>
  <c r="CX8" i="1"/>
  <c r="CY8" i="1" s="1"/>
  <c r="CU8" i="4"/>
  <c r="CZ19" i="4"/>
  <c r="DC19" i="1"/>
  <c r="DA110" i="1"/>
  <c r="DB89" i="1"/>
  <c r="DA115" i="1"/>
  <c r="DD115" i="1" s="1"/>
  <c r="DA109" i="1"/>
  <c r="DE109" i="1" s="1"/>
  <c r="DE93" i="1"/>
  <c r="DE67" i="1"/>
  <c r="DE75" i="1"/>
  <c r="CU5" i="4"/>
  <c r="CX5" i="1"/>
  <c r="CY5" i="1" s="1"/>
  <c r="CT21" i="4"/>
  <c r="CZ18" i="4"/>
  <c r="DC18" i="1"/>
  <c r="CX15" i="1"/>
  <c r="CY15" i="1" s="1"/>
  <c r="CU15" i="4"/>
  <c r="CZ9" i="4"/>
  <c r="DC9" i="1"/>
  <c r="DA164" i="1"/>
  <c r="CW16" i="1"/>
  <c r="DA50" i="1"/>
  <c r="DC7" i="1"/>
  <c r="CZ7" i="4"/>
  <c r="CX7" i="1"/>
  <c r="CU7" i="4"/>
  <c r="DE100" i="1"/>
  <c r="CZ4" i="4"/>
  <c r="DC4" i="1"/>
  <c r="DB157" i="1"/>
  <c r="DA136" i="1"/>
  <c r="DE136" i="1" s="1"/>
  <c r="DB179" i="1"/>
  <c r="DB186" i="1"/>
  <c r="DB78" i="1"/>
  <c r="DE182" i="1"/>
  <c r="DB110" i="1"/>
  <c r="CY2" i="1"/>
  <c r="CV2" i="4"/>
  <c r="DA30" i="1"/>
  <c r="DA125" i="1"/>
  <c r="CZ12" i="4"/>
  <c r="DC12" i="1"/>
  <c r="DA174" i="1"/>
  <c r="DA25" i="1"/>
  <c r="CY9" i="1"/>
  <c r="CV9" i="4"/>
  <c r="CX3" i="1"/>
  <c r="CU3" i="4"/>
  <c r="DA168" i="1"/>
  <c r="DB80" i="1"/>
  <c r="DA172" i="1"/>
  <c r="DE172" i="1" s="1"/>
  <c r="DD186" i="1"/>
  <c r="DE186" i="1"/>
  <c r="DA137" i="1"/>
  <c r="DB96" i="1"/>
  <c r="DB159" i="1"/>
  <c r="DB79" i="1"/>
  <c r="DB101" i="1"/>
  <c r="DA158" i="1"/>
  <c r="DD158" i="1" s="1"/>
  <c r="DE80" i="1"/>
  <c r="DE62" i="1"/>
  <c r="CW13" i="4"/>
  <c r="DD180" i="1"/>
  <c r="DE180" i="1"/>
  <c r="DA156" i="1"/>
  <c r="CV14" i="4"/>
  <c r="DA72" i="1"/>
  <c r="DA66" i="1"/>
  <c r="CY12" i="1"/>
  <c r="CV12" i="4"/>
  <c r="DD127" i="1"/>
  <c r="DE127" i="1"/>
  <c r="DA98" i="1"/>
  <c r="DA124" i="1"/>
  <c r="DB130" i="1"/>
  <c r="CT18" i="4"/>
  <c r="CZ20" i="1"/>
  <c r="DB183" i="1"/>
  <c r="DB114" i="1"/>
  <c r="DB187" i="1"/>
  <c r="DB151" i="1"/>
  <c r="DB127" i="1"/>
  <c r="DE130" i="1"/>
  <c r="CZ16" i="4"/>
  <c r="DC16" i="1"/>
  <c r="DA133" i="1"/>
  <c r="CZ13" i="1"/>
  <c r="DA24" i="1"/>
  <c r="CX24" i="4"/>
  <c r="CY24" i="4"/>
  <c r="DA162" i="1"/>
  <c r="CT6" i="4"/>
  <c r="CW7" i="1"/>
  <c r="DA191" i="1"/>
  <c r="DA118" i="1"/>
  <c r="DC22" i="1"/>
  <c r="CZ22" i="4"/>
  <c r="DD138" i="1"/>
  <c r="DE138" i="1"/>
  <c r="DD183" i="1"/>
  <c r="DE183" i="1"/>
  <c r="DE96" i="1"/>
  <c r="DE89" i="1"/>
  <c r="DE68" i="1"/>
  <c r="CZ6" i="1"/>
  <c r="DA84" i="1"/>
  <c r="CW8" i="4"/>
  <c r="DA135" i="1"/>
  <c r="DA126" i="1"/>
  <c r="DA139" i="1"/>
  <c r="DA97" i="1"/>
  <c r="CV11" i="4"/>
  <c r="DA44" i="1"/>
  <c r="DA132" i="1"/>
  <c r="DA40" i="1"/>
  <c r="DB100" i="1"/>
  <c r="DB138" i="1"/>
  <c r="DA143" i="1"/>
  <c r="DD143" i="1" s="1"/>
  <c r="DB168" i="1"/>
  <c r="DA49" i="1"/>
  <c r="DE49" i="1" s="1"/>
  <c r="DE159" i="1"/>
  <c r="DE179" i="1"/>
  <c r="DA73" i="1"/>
  <c r="CZ8" i="1"/>
  <c r="CZ21" i="4"/>
  <c r="DC21" i="1"/>
  <c r="CZ23" i="4"/>
  <c r="DC23" i="1"/>
  <c r="CZ3" i="1"/>
  <c r="DA166" i="1"/>
  <c r="CV17" i="4"/>
  <c r="DA120" i="1"/>
  <c r="DD120" i="1" s="1"/>
  <c r="CZ11" i="4"/>
  <c r="DC11" i="1"/>
  <c r="DA37" i="1"/>
  <c r="DA57" i="1"/>
  <c r="DD57" i="1" s="1"/>
  <c r="DB137" i="1"/>
  <c r="DD149" i="1"/>
  <c r="DE149" i="1"/>
  <c r="CW3" i="4"/>
  <c r="DC15" i="1"/>
  <c r="CZ15" i="4"/>
  <c r="O204" i="6"/>
  <c r="P204" i="6" s="1"/>
  <c r="O200" i="6"/>
  <c r="P200" i="6" s="1"/>
  <c r="O196" i="6"/>
  <c r="P196" i="6" s="1"/>
  <c r="O192" i="6"/>
  <c r="P192" i="6" s="1"/>
  <c r="O188" i="6"/>
  <c r="P188" i="6" s="1"/>
  <c r="O184" i="6"/>
  <c r="P184" i="6" s="1"/>
  <c r="O180" i="6"/>
  <c r="P180" i="6" s="1"/>
  <c r="O176" i="6"/>
  <c r="P176" i="6" s="1"/>
  <c r="O172" i="6"/>
  <c r="P172" i="6" s="1"/>
  <c r="O168" i="6"/>
  <c r="P168" i="6" s="1"/>
  <c r="O164" i="6"/>
  <c r="P164" i="6" s="1"/>
  <c r="O160" i="6"/>
  <c r="P160" i="6" s="1"/>
  <c r="O156" i="6"/>
  <c r="P156" i="6" s="1"/>
  <c r="O152" i="6"/>
  <c r="P152" i="6" s="1"/>
  <c r="O148" i="6"/>
  <c r="P148" i="6" s="1"/>
  <c r="O144" i="6"/>
  <c r="P144" i="6" s="1"/>
  <c r="O140" i="6"/>
  <c r="P140" i="6" s="1"/>
  <c r="O136" i="6"/>
  <c r="P136" i="6" s="1"/>
  <c r="O132" i="6"/>
  <c r="P132" i="6" s="1"/>
  <c r="O128" i="6"/>
  <c r="P128" i="6" s="1"/>
  <c r="O124" i="6"/>
  <c r="P124" i="6" s="1"/>
  <c r="O120" i="6"/>
  <c r="P120" i="6" s="1"/>
  <c r="O116" i="6"/>
  <c r="P116" i="6" s="1"/>
  <c r="O112" i="6"/>
  <c r="P112" i="6" s="1"/>
  <c r="O108" i="6"/>
  <c r="P108" i="6" s="1"/>
  <c r="O104" i="6"/>
  <c r="P104" i="6" s="1"/>
  <c r="O100" i="6"/>
  <c r="P100" i="6" s="1"/>
  <c r="O96" i="6"/>
  <c r="P96" i="6" s="1"/>
  <c r="O201" i="6"/>
  <c r="P201" i="6" s="1"/>
  <c r="O197" i="6"/>
  <c r="P197" i="6" s="1"/>
  <c r="O193" i="6"/>
  <c r="P193" i="6" s="1"/>
  <c r="O189" i="6"/>
  <c r="P189" i="6" s="1"/>
  <c r="O185" i="6"/>
  <c r="P185" i="6" s="1"/>
  <c r="O181" i="6"/>
  <c r="P181" i="6" s="1"/>
  <c r="O177" i="6"/>
  <c r="P177" i="6" s="1"/>
  <c r="O173" i="6"/>
  <c r="P173" i="6" s="1"/>
  <c r="O169" i="6"/>
  <c r="P169" i="6" s="1"/>
  <c r="O165" i="6"/>
  <c r="P165" i="6" s="1"/>
  <c r="O161" i="6"/>
  <c r="P161" i="6" s="1"/>
  <c r="O157" i="6"/>
  <c r="P157" i="6" s="1"/>
  <c r="O153" i="6"/>
  <c r="P153" i="6" s="1"/>
  <c r="O149" i="6"/>
  <c r="P149" i="6" s="1"/>
  <c r="O145" i="6"/>
  <c r="P145" i="6" s="1"/>
  <c r="O141" i="6"/>
  <c r="P141" i="6" s="1"/>
  <c r="O137" i="6"/>
  <c r="P137" i="6" s="1"/>
  <c r="O133" i="6"/>
  <c r="P133" i="6" s="1"/>
  <c r="O129" i="6"/>
  <c r="P129" i="6" s="1"/>
  <c r="O125" i="6"/>
  <c r="P125" i="6" s="1"/>
  <c r="O121" i="6"/>
  <c r="P121" i="6" s="1"/>
  <c r="O117" i="6"/>
  <c r="P117" i="6" s="1"/>
  <c r="O113" i="6"/>
  <c r="P113" i="6" s="1"/>
  <c r="O109" i="6"/>
  <c r="P109" i="6" s="1"/>
  <c r="O105" i="6"/>
  <c r="P105" i="6" s="1"/>
  <c r="O101" i="6"/>
  <c r="P101" i="6" s="1"/>
  <c r="O97" i="6"/>
  <c r="P97" i="6" s="1"/>
  <c r="O93" i="6"/>
  <c r="P93" i="6" s="1"/>
  <c r="O203" i="6"/>
  <c r="P203" i="6" s="1"/>
  <c r="O199" i="6"/>
  <c r="P199" i="6" s="1"/>
  <c r="O195" i="6"/>
  <c r="P195" i="6" s="1"/>
  <c r="O191" i="6"/>
  <c r="P191" i="6" s="1"/>
  <c r="O187" i="6"/>
  <c r="P187" i="6" s="1"/>
  <c r="O183" i="6"/>
  <c r="P183" i="6" s="1"/>
  <c r="O179" i="6"/>
  <c r="P179" i="6" s="1"/>
  <c r="O175" i="6"/>
  <c r="P175" i="6" s="1"/>
  <c r="O171" i="6"/>
  <c r="P171" i="6" s="1"/>
  <c r="O167" i="6"/>
  <c r="P167" i="6" s="1"/>
  <c r="O163" i="6"/>
  <c r="P163" i="6" s="1"/>
  <c r="O159" i="6"/>
  <c r="P159" i="6" s="1"/>
  <c r="O155" i="6"/>
  <c r="P155" i="6" s="1"/>
  <c r="O151" i="6"/>
  <c r="P151" i="6" s="1"/>
  <c r="O147" i="6"/>
  <c r="P147" i="6" s="1"/>
  <c r="O143" i="6"/>
  <c r="P143" i="6" s="1"/>
  <c r="O139" i="6"/>
  <c r="P139" i="6" s="1"/>
  <c r="O135" i="6"/>
  <c r="P135" i="6" s="1"/>
  <c r="O131" i="6"/>
  <c r="P131" i="6" s="1"/>
  <c r="O127" i="6"/>
  <c r="P127" i="6" s="1"/>
  <c r="O123" i="6"/>
  <c r="P123" i="6" s="1"/>
  <c r="O119" i="6"/>
  <c r="P119" i="6" s="1"/>
  <c r="O115" i="6"/>
  <c r="P115" i="6" s="1"/>
  <c r="O111" i="6"/>
  <c r="P111" i="6" s="1"/>
  <c r="O107" i="6"/>
  <c r="P107" i="6" s="1"/>
  <c r="O103" i="6"/>
  <c r="P103" i="6" s="1"/>
  <c r="O99" i="6"/>
  <c r="P99" i="6" s="1"/>
  <c r="O95" i="6"/>
  <c r="P95" i="6" s="1"/>
  <c r="O92" i="6"/>
  <c r="P92" i="6" s="1"/>
  <c r="O98" i="6"/>
  <c r="P98" i="6" s="1"/>
  <c r="O194" i="6"/>
  <c r="P194" i="6" s="1"/>
  <c r="O178" i="6"/>
  <c r="P178" i="6" s="1"/>
  <c r="O162" i="6"/>
  <c r="P162" i="6" s="1"/>
  <c r="O146" i="6"/>
  <c r="P146" i="6" s="1"/>
  <c r="O130" i="6"/>
  <c r="P130" i="6" s="1"/>
  <c r="O102" i="6"/>
  <c r="P102" i="6" s="1"/>
  <c r="O106" i="6"/>
  <c r="P106" i="6" s="1"/>
  <c r="O110" i="6"/>
  <c r="P110" i="6" s="1"/>
  <c r="O118" i="6"/>
  <c r="P118" i="6" s="1"/>
  <c r="O91" i="6"/>
  <c r="P91" i="6" s="1"/>
  <c r="O174" i="6"/>
  <c r="P174" i="6" s="1"/>
  <c r="O138" i="6"/>
  <c r="P138" i="6" s="1"/>
  <c r="O80" i="6"/>
  <c r="P80" i="6" s="1"/>
  <c r="O73" i="6"/>
  <c r="P73" i="6" s="1"/>
  <c r="O64" i="6"/>
  <c r="P64" i="6" s="1"/>
  <c r="O57" i="6"/>
  <c r="P57" i="6" s="1"/>
  <c r="O48" i="6"/>
  <c r="P48" i="6" s="1"/>
  <c r="O41" i="6"/>
  <c r="P41" i="6" s="1"/>
  <c r="O32" i="6"/>
  <c r="P32" i="6" s="1"/>
  <c r="O25" i="6"/>
  <c r="P25" i="6" s="1"/>
  <c r="O190" i="6"/>
  <c r="P190" i="6" s="1"/>
  <c r="O154" i="6"/>
  <c r="P154" i="6" s="1"/>
  <c r="O71" i="6"/>
  <c r="P71" i="6" s="1"/>
  <c r="O55" i="6"/>
  <c r="P55" i="6" s="1"/>
  <c r="O39" i="6"/>
  <c r="P39" i="6" s="1"/>
  <c r="O23" i="6"/>
  <c r="P23" i="6" s="1"/>
  <c r="O19" i="6"/>
  <c r="P19" i="6" s="1"/>
  <c r="O15" i="6"/>
  <c r="P15" i="6" s="1"/>
  <c r="O170" i="6"/>
  <c r="P170" i="6" s="1"/>
  <c r="O78" i="6"/>
  <c r="P78" i="6" s="1"/>
  <c r="O62" i="6"/>
  <c r="P62" i="6" s="1"/>
  <c r="O46" i="6"/>
  <c r="P46" i="6" s="1"/>
  <c r="O30" i="6"/>
  <c r="P30" i="6" s="1"/>
  <c r="O186" i="6"/>
  <c r="P186" i="6" s="1"/>
  <c r="O134" i="6"/>
  <c r="P134" i="6" s="1"/>
  <c r="O76" i="6"/>
  <c r="P76" i="6" s="1"/>
  <c r="O69" i="6"/>
  <c r="P69" i="6" s="1"/>
  <c r="O60" i="6"/>
  <c r="P60" i="6" s="1"/>
  <c r="O53" i="6"/>
  <c r="P53" i="6" s="1"/>
  <c r="O44" i="6"/>
  <c r="P44" i="6" s="1"/>
  <c r="O37" i="6"/>
  <c r="P37" i="6" s="1"/>
  <c r="O28" i="6"/>
  <c r="P28" i="6" s="1"/>
  <c r="O202" i="6"/>
  <c r="P202" i="6" s="1"/>
  <c r="O150" i="6"/>
  <c r="P150" i="6" s="1"/>
  <c r="O87" i="6"/>
  <c r="P87" i="6" s="1"/>
  <c r="O67" i="6"/>
  <c r="P67" i="6" s="1"/>
  <c r="O51" i="6"/>
  <c r="P51" i="6" s="1"/>
  <c r="O35" i="6"/>
  <c r="P35" i="6" s="1"/>
  <c r="O20" i="6"/>
  <c r="P20" i="6" s="1"/>
  <c r="O16" i="6"/>
  <c r="P16" i="6" s="1"/>
  <c r="O166" i="6"/>
  <c r="P166" i="6" s="1"/>
  <c r="O89" i="6"/>
  <c r="P89" i="6" s="1"/>
  <c r="O85" i="6"/>
  <c r="P85" i="6" s="1"/>
  <c r="O83" i="6"/>
  <c r="P83" i="6" s="1"/>
  <c r="O74" i="6"/>
  <c r="P74" i="6" s="1"/>
  <c r="O58" i="6"/>
  <c r="P58" i="6" s="1"/>
  <c r="O42" i="6"/>
  <c r="P42" i="6" s="1"/>
  <c r="O26" i="6"/>
  <c r="P26" i="6" s="1"/>
  <c r="O182" i="6"/>
  <c r="P182" i="6" s="1"/>
  <c r="O114" i="6"/>
  <c r="P114" i="6" s="1"/>
  <c r="O94" i="6"/>
  <c r="P94" i="6" s="1"/>
  <c r="O81" i="6"/>
  <c r="P81" i="6" s="1"/>
  <c r="O72" i="6"/>
  <c r="P72" i="6" s="1"/>
  <c r="O65" i="6"/>
  <c r="P65" i="6" s="1"/>
  <c r="O56" i="6"/>
  <c r="P56" i="6" s="1"/>
  <c r="O49" i="6"/>
  <c r="P49" i="6" s="1"/>
  <c r="O40" i="6"/>
  <c r="P40" i="6" s="1"/>
  <c r="O33" i="6"/>
  <c r="P33" i="6" s="1"/>
  <c r="O24" i="6"/>
  <c r="P24" i="6" s="1"/>
  <c r="O198" i="6"/>
  <c r="P198" i="6" s="1"/>
  <c r="O79" i="6"/>
  <c r="P79" i="6" s="1"/>
  <c r="O63" i="6"/>
  <c r="P63" i="6" s="1"/>
  <c r="O47" i="6"/>
  <c r="P47" i="6" s="1"/>
  <c r="O31" i="6"/>
  <c r="P31" i="6" s="1"/>
  <c r="O21" i="6"/>
  <c r="P21" i="6" s="1"/>
  <c r="O17" i="6"/>
  <c r="P17" i="6" s="1"/>
  <c r="O70" i="6"/>
  <c r="P70" i="6" s="1"/>
  <c r="O54" i="6"/>
  <c r="P54" i="6" s="1"/>
  <c r="O38" i="6"/>
  <c r="P38" i="6" s="1"/>
  <c r="F8" i="6"/>
  <c r="O126" i="6"/>
  <c r="P126" i="6" s="1"/>
  <c r="O88" i="6"/>
  <c r="P88" i="6" s="1"/>
  <c r="O77" i="6"/>
  <c r="P77" i="6" s="1"/>
  <c r="O68" i="6"/>
  <c r="P68" i="6" s="1"/>
  <c r="O61" i="6"/>
  <c r="P61" i="6" s="1"/>
  <c r="O52" i="6"/>
  <c r="P52" i="6" s="1"/>
  <c r="O45" i="6"/>
  <c r="P45" i="6" s="1"/>
  <c r="O36" i="6"/>
  <c r="P36" i="6" s="1"/>
  <c r="O29" i="6"/>
  <c r="P29" i="6" s="1"/>
  <c r="O142" i="6"/>
  <c r="P142" i="6" s="1"/>
  <c r="O86" i="6"/>
  <c r="P86" i="6" s="1"/>
  <c r="O84" i="6"/>
  <c r="P84" i="6" s="1"/>
  <c r="O75" i="6"/>
  <c r="P75" i="6" s="1"/>
  <c r="O59" i="6"/>
  <c r="P59" i="6" s="1"/>
  <c r="O43" i="6"/>
  <c r="P43" i="6" s="1"/>
  <c r="O27" i="6"/>
  <c r="P27" i="6" s="1"/>
  <c r="O22" i="6"/>
  <c r="P22" i="6" s="1"/>
  <c r="O18" i="6"/>
  <c r="P18" i="6" s="1"/>
  <c r="O14" i="6"/>
  <c r="P14" i="6" s="1"/>
  <c r="O158" i="6"/>
  <c r="P158" i="6" s="1"/>
  <c r="O122" i="6"/>
  <c r="P122" i="6" s="1"/>
  <c r="O90" i="6"/>
  <c r="P90" i="6" s="1"/>
  <c r="O82" i="6"/>
  <c r="P82" i="6" s="1"/>
  <c r="O66" i="6"/>
  <c r="P66" i="6" s="1"/>
  <c r="O50" i="6"/>
  <c r="P50" i="6" s="1"/>
  <c r="O34" i="6"/>
  <c r="P34" i="6" s="1"/>
  <c r="DD78" i="1"/>
  <c r="DE78" i="1"/>
  <c r="DD27" i="1"/>
  <c r="DE36" i="1"/>
  <c r="DD114" i="1"/>
  <c r="DE114" i="1"/>
  <c r="DD26" i="1"/>
  <c r="DD177" i="1"/>
  <c r="DE64" i="1"/>
  <c r="CM67" i="1"/>
  <c r="CO67" i="1" s="1"/>
  <c r="CM141" i="1"/>
  <c r="CN141" i="1" s="1"/>
  <c r="CM192" i="1"/>
  <c r="CM191" i="1"/>
  <c r="CO191" i="1" s="1"/>
  <c r="CM116" i="1"/>
  <c r="CO116" i="1" s="1"/>
  <c r="CM52" i="1"/>
  <c r="CO52" i="1" s="1"/>
  <c r="CM137" i="1"/>
  <c r="CN137" i="1" s="1"/>
  <c r="CM73" i="1"/>
  <c r="CN73" i="1" s="1"/>
  <c r="CM13" i="1"/>
  <c r="CO13" i="1" s="1"/>
  <c r="CM129" i="1"/>
  <c r="CN129" i="1" s="1"/>
  <c r="CM58" i="1"/>
  <c r="CN58" i="1" s="1"/>
  <c r="CM34" i="1"/>
  <c r="CN34" i="1" s="1"/>
  <c r="CM10" i="1"/>
  <c r="CO10" i="1" s="1"/>
  <c r="CM68" i="1"/>
  <c r="CO68" i="1" s="1"/>
  <c r="CM147" i="1"/>
  <c r="CN147" i="1" s="1"/>
  <c r="CM25" i="1"/>
  <c r="CN25" i="1" s="1"/>
  <c r="CM81" i="1"/>
  <c r="CO81" i="1" s="1"/>
  <c r="CM83" i="1"/>
  <c r="CO83" i="1" s="1"/>
  <c r="CM14" i="1"/>
  <c r="CO14" i="1" s="1"/>
  <c r="CM186" i="1"/>
  <c r="CN186" i="1" s="1"/>
  <c r="CM16" i="1"/>
  <c r="CN16" i="1" s="1"/>
  <c r="CM164" i="1"/>
  <c r="CO164" i="1" s="1"/>
  <c r="CM7" i="1"/>
  <c r="CO7" i="1" s="1"/>
  <c r="CM165" i="1"/>
  <c r="CM53" i="1"/>
  <c r="CN53" i="1" s="1"/>
  <c r="CM38" i="1"/>
  <c r="CN38" i="1" s="1"/>
  <c r="CM125" i="1"/>
  <c r="CN125" i="1" s="1"/>
  <c r="CM189" i="1"/>
  <c r="CM11" i="1"/>
  <c r="CN11" i="1" s="1"/>
  <c r="CM76" i="1"/>
  <c r="CO76" i="1" s="1"/>
  <c r="CM88" i="1"/>
  <c r="CN88" i="1" s="1"/>
  <c r="CM66" i="1"/>
  <c r="CN66" i="1" s="1"/>
  <c r="CM140" i="1"/>
  <c r="CO140" i="1" s="1"/>
  <c r="CM69" i="1"/>
  <c r="CN69" i="1" s="1"/>
  <c r="CM150" i="1"/>
  <c r="CO150" i="1" s="1"/>
  <c r="CM21" i="1"/>
  <c r="CO21" i="1" s="1"/>
  <c r="CM99" i="1"/>
  <c r="CN99" i="1" s="1"/>
  <c r="CM36" i="1"/>
  <c r="CO36" i="1" s="1"/>
  <c r="CJ17" i="4"/>
  <c r="CM44" i="1"/>
  <c r="CN44" i="1" s="1"/>
  <c r="CM102" i="1"/>
  <c r="CN102" i="1" s="1"/>
  <c r="CM96" i="1"/>
  <c r="CN96" i="1" s="1"/>
  <c r="CJ13" i="4"/>
  <c r="CM40" i="1"/>
  <c r="CN40" i="1" s="1"/>
  <c r="CM55" i="1"/>
  <c r="CO55" i="1" s="1"/>
  <c r="CM142" i="1"/>
  <c r="CO142" i="1" s="1"/>
  <c r="CM35" i="1"/>
  <c r="CN35" i="1" s="1"/>
  <c r="CM18" i="1"/>
  <c r="CN18" i="1" s="1"/>
  <c r="CM100" i="1"/>
  <c r="CN100" i="1" s="1"/>
  <c r="CM5" i="1"/>
  <c r="CN5" i="1" s="1"/>
  <c r="CM131" i="1"/>
  <c r="CO131" i="1" s="1"/>
  <c r="CM64" i="1"/>
  <c r="CO64" i="1" s="1"/>
  <c r="CM59" i="1"/>
  <c r="CN59" i="1" s="1"/>
  <c r="CM98" i="1"/>
  <c r="CN98" i="1" s="1"/>
  <c r="CM54" i="1"/>
  <c r="CN54" i="1" s="1"/>
  <c r="CM115" i="1"/>
  <c r="CO115" i="1" s="1"/>
  <c r="CM95" i="1"/>
  <c r="CN95" i="1" s="1"/>
  <c r="CM92" i="1"/>
  <c r="CO92" i="1" s="1"/>
  <c r="CM152" i="1"/>
  <c r="CN152" i="1" s="1"/>
  <c r="CM133" i="1"/>
  <c r="CO133" i="1" s="1"/>
  <c r="CM107" i="1"/>
  <c r="CO107" i="1" s="1"/>
  <c r="CM48" i="1"/>
  <c r="CN48" i="1" s="1"/>
  <c r="CJ9" i="4"/>
  <c r="CJ23" i="4"/>
  <c r="CM170" i="1"/>
  <c r="CO170" i="1" s="1"/>
  <c r="CM106" i="1"/>
  <c r="CO106" i="1" s="1"/>
  <c r="CM26" i="1"/>
  <c r="CO26" i="1" s="1"/>
  <c r="CM160" i="1"/>
  <c r="CN160" i="1" s="1"/>
  <c r="CJ3" i="4"/>
  <c r="CJ4" i="4"/>
  <c r="CM120" i="1"/>
  <c r="CN120" i="1" s="1"/>
  <c r="CM101" i="1"/>
  <c r="CN101" i="1" s="1"/>
  <c r="CM49" i="1"/>
  <c r="CO49" i="1" s="1"/>
  <c r="CJ11" i="4"/>
  <c r="CM181" i="1"/>
  <c r="CN181" i="1" s="1"/>
  <c r="CJ8" i="4"/>
  <c r="CM134" i="1"/>
  <c r="CO134" i="1" s="1"/>
  <c r="CM190" i="1"/>
  <c r="CO190" i="1" s="1"/>
  <c r="CM78" i="1"/>
  <c r="CN78" i="1" s="1"/>
  <c r="CM161" i="1"/>
  <c r="CN161" i="1" s="1"/>
  <c r="CJ21" i="4"/>
  <c r="CM33" i="1"/>
  <c r="CO33" i="1" s="1"/>
  <c r="CJ12" i="4"/>
  <c r="CJ20" i="4"/>
  <c r="CM159" i="1"/>
  <c r="CO159" i="1" s="1"/>
  <c r="CJ15" i="4"/>
  <c r="CM132" i="1"/>
  <c r="CN132" i="1" s="1"/>
  <c r="CM180" i="1"/>
  <c r="CJ10" i="4"/>
  <c r="CM82" i="1"/>
  <c r="CO82" i="1" s="1"/>
  <c r="CJ24" i="4"/>
  <c r="CJ16" i="4"/>
  <c r="CJ2" i="4"/>
  <c r="CJ14" i="4"/>
  <c r="CM84" i="1"/>
  <c r="CN84" i="1" s="1"/>
  <c r="CM124" i="1"/>
  <c r="CN124" i="1" s="1"/>
  <c r="CM20" i="1"/>
  <c r="CN20" i="1" s="1"/>
  <c r="CM172" i="1"/>
  <c r="CN172" i="1" s="1"/>
  <c r="CM29" i="1"/>
  <c r="CN29" i="1" s="1"/>
  <c r="CJ5" i="4"/>
  <c r="CJ6" i="4"/>
  <c r="CJ7" i="4"/>
  <c r="CM144" i="1"/>
  <c r="CN144" i="1" s="1"/>
  <c r="CM162" i="1"/>
  <c r="CN162" i="1" s="1"/>
  <c r="CJ22" i="4"/>
  <c r="CJ18" i="4"/>
  <c r="CJ19" i="4"/>
  <c r="CM163" i="1"/>
  <c r="CO163" i="1" s="1"/>
  <c r="CM156" i="1"/>
  <c r="CN156" i="1" s="1"/>
  <c r="CM46" i="1"/>
  <c r="CN46" i="1" s="1"/>
  <c r="CM127" i="1"/>
  <c r="CN127" i="1" s="1"/>
  <c r="CM74" i="1"/>
  <c r="CN74" i="1" s="1"/>
  <c r="CM114" i="1"/>
  <c r="CO114" i="1" s="1"/>
  <c r="CM135" i="1"/>
  <c r="CO135" i="1" s="1"/>
  <c r="CM56" i="1"/>
  <c r="CN56" i="1" s="1"/>
  <c r="CM187" i="1"/>
  <c r="CN187" i="1" s="1"/>
  <c r="CM151" i="1"/>
  <c r="CO151" i="1" s="1"/>
  <c r="CM70" i="1"/>
  <c r="CO70" i="1" s="1"/>
  <c r="CM155" i="1"/>
  <c r="CO155" i="1" s="1"/>
  <c r="CM178" i="1"/>
  <c r="CO178" i="1" s="1"/>
  <c r="CM123" i="1"/>
  <c r="CO123" i="1" s="1"/>
  <c r="CM182" i="1"/>
  <c r="CM51" i="1"/>
  <c r="CM166" i="1"/>
  <c r="CN166" i="1" s="1"/>
  <c r="CM72" i="1"/>
  <c r="CN72" i="1" s="1"/>
  <c r="CM113" i="1"/>
  <c r="CN113" i="1" s="1"/>
  <c r="CM63" i="1"/>
  <c r="CO63" i="1" s="1"/>
  <c r="CM117" i="1"/>
  <c r="CO117" i="1" s="1"/>
  <c r="CM31" i="1"/>
  <c r="CO31" i="1" s="1"/>
  <c r="CM167" i="1"/>
  <c r="CN167" i="1" s="1"/>
  <c r="CM188" i="1"/>
  <c r="CM148" i="1"/>
  <c r="CN148" i="1" s="1"/>
  <c r="CM37" i="1"/>
  <c r="CO37" i="1" s="1"/>
  <c r="CM93" i="1"/>
  <c r="CN93" i="1" s="1"/>
  <c r="CM139" i="1"/>
  <c r="CO139" i="1" s="1"/>
  <c r="CM39" i="1"/>
  <c r="CN39" i="1" s="1"/>
  <c r="CM174" i="1"/>
  <c r="CM171" i="1"/>
  <c r="CN171" i="1" s="1"/>
  <c r="CM168" i="1"/>
  <c r="CN168" i="1" s="1"/>
  <c r="CM184" i="1"/>
  <c r="CO184" i="1" s="1"/>
  <c r="CM121" i="1"/>
  <c r="CN121" i="1" s="1"/>
  <c r="CM122" i="1"/>
  <c r="CN122" i="1" s="1"/>
  <c r="CM4" i="1"/>
  <c r="CN4" i="1" s="1"/>
  <c r="CM8" i="1"/>
  <c r="CN8" i="1" s="1"/>
  <c r="CM119" i="1"/>
  <c r="CN119" i="1" s="1"/>
  <c r="CM30" i="1"/>
  <c r="CN30" i="1" s="1"/>
  <c r="CM85" i="1"/>
  <c r="CO85" i="1" s="1"/>
  <c r="CM17" i="1"/>
  <c r="CO17" i="1" s="1"/>
  <c r="CM179" i="1"/>
  <c r="CN179" i="1" s="1"/>
  <c r="CM50" i="1"/>
  <c r="CN50" i="1" s="1"/>
  <c r="CM145" i="1"/>
  <c r="CN145" i="1" s="1"/>
  <c r="CM111" i="1"/>
  <c r="CN111" i="1" s="1"/>
  <c r="CM27" i="1"/>
  <c r="CN27" i="1" s="1"/>
  <c r="CM109" i="1"/>
  <c r="CN109" i="1" s="1"/>
  <c r="CM146" i="1"/>
  <c r="CO146" i="1" s="1"/>
  <c r="CM80" i="1"/>
  <c r="CN80" i="1" s="1"/>
  <c r="CM47" i="1"/>
  <c r="CN47" i="1" s="1"/>
  <c r="CM86" i="1"/>
  <c r="CN86" i="1" s="1"/>
  <c r="CM65" i="1"/>
  <c r="CN65" i="1" s="1"/>
  <c r="CM138" i="1"/>
  <c r="CN138" i="1" s="1"/>
  <c r="CM12" i="1"/>
  <c r="CO12" i="1" s="1"/>
  <c r="CM71" i="1"/>
  <c r="CN71" i="1" s="1"/>
  <c r="CM169" i="1"/>
  <c r="CN169" i="1" s="1"/>
  <c r="CM183" i="1"/>
  <c r="CO183" i="1" s="1"/>
  <c r="CM175" i="1"/>
  <c r="CM6" i="1"/>
  <c r="CN6" i="1" s="1"/>
  <c r="CM158" i="1"/>
  <c r="CN158" i="1" s="1"/>
  <c r="CM62" i="1"/>
  <c r="CN62" i="1" s="1"/>
  <c r="CM177" i="1"/>
  <c r="CM43" i="1"/>
  <c r="CO43" i="1" s="1"/>
  <c r="CM79" i="1"/>
  <c r="CN79" i="1" s="1"/>
  <c r="CM91" i="1"/>
  <c r="CN91" i="1" s="1"/>
  <c r="CM143" i="1"/>
  <c r="CN143" i="1" s="1"/>
  <c r="CM118" i="1"/>
  <c r="CN118" i="1" s="1"/>
  <c r="CM32" i="1"/>
  <c r="CN32" i="1" s="1"/>
  <c r="CM130" i="1"/>
  <c r="CO130" i="1" s="1"/>
  <c r="CM61" i="1"/>
  <c r="CO61" i="1" s="1"/>
  <c r="CM126" i="1"/>
  <c r="CN126" i="1" s="1"/>
  <c r="CM77" i="1"/>
  <c r="CN77" i="1" s="1"/>
  <c r="CM57" i="1"/>
  <c r="CN57" i="1" s="1"/>
  <c r="CM112" i="1"/>
  <c r="CN112" i="1" s="1"/>
  <c r="CM28" i="1"/>
  <c r="CN28" i="1" s="1"/>
  <c r="CM87" i="1"/>
  <c r="CN87" i="1" s="1"/>
  <c r="CM94" i="1"/>
  <c r="CN94" i="1" s="1"/>
  <c r="CM45" i="1"/>
  <c r="CO45" i="1" s="1"/>
  <c r="CM15" i="1"/>
  <c r="CN15" i="1" s="1"/>
  <c r="CM90" i="1"/>
  <c r="CN90" i="1" s="1"/>
  <c r="CM23" i="1"/>
  <c r="CN23" i="1" s="1"/>
  <c r="CM149" i="1"/>
  <c r="CN149" i="1" s="1"/>
  <c r="CM108" i="1"/>
  <c r="CO108" i="1" s="1"/>
  <c r="CM136" i="1"/>
  <c r="CO136" i="1" s="1"/>
  <c r="CM128" i="1"/>
  <c r="CN128" i="1" s="1"/>
  <c r="CM41" i="1"/>
  <c r="CN41" i="1" s="1"/>
  <c r="CM97" i="1"/>
  <c r="CN97" i="1" s="1"/>
  <c r="CM22" i="1"/>
  <c r="CN22" i="1" s="1"/>
  <c r="CM24" i="1"/>
  <c r="CN24" i="1" s="1"/>
  <c r="CM19" i="1"/>
  <c r="CN19" i="1" s="1"/>
  <c r="CM104" i="1"/>
  <c r="CN104" i="1" s="1"/>
  <c r="CM173" i="1"/>
  <c r="CO173" i="1" s="1"/>
  <c r="CM2" i="1"/>
  <c r="CO2" i="1" s="1"/>
  <c r="CM103" i="1"/>
  <c r="CN103" i="1" s="1"/>
  <c r="CM105" i="1"/>
  <c r="CN105" i="1" s="1"/>
  <c r="CM153" i="1"/>
  <c r="CO153" i="1" s="1"/>
  <c r="CM60" i="1"/>
  <c r="CN60" i="1" s="1"/>
  <c r="CM157" i="1"/>
  <c r="CN157" i="1" s="1"/>
  <c r="CM154" i="1"/>
  <c r="CN154" i="1" s="1"/>
  <c r="CM75" i="1"/>
  <c r="CN75" i="1" s="1"/>
  <c r="CM110" i="1"/>
  <c r="CN110" i="1" s="1"/>
  <c r="CM176" i="1"/>
  <c r="CM42" i="1"/>
  <c r="CN42" i="1" s="1"/>
  <c r="CM89" i="1"/>
  <c r="CO89" i="1" s="1"/>
  <c r="CM185" i="1"/>
  <c r="CN185" i="1" s="1"/>
  <c r="CM9" i="1"/>
  <c r="CN9" i="1" s="1"/>
  <c r="CM3" i="1"/>
  <c r="CN3" i="1" s="1"/>
  <c r="DD71" i="1" l="1"/>
  <c r="DD136" i="1"/>
  <c r="CY3" i="1"/>
  <c r="CY14" i="4"/>
  <c r="DD39" i="1"/>
  <c r="DE171" i="1"/>
  <c r="DE56" i="1"/>
  <c r="CY17" i="4"/>
  <c r="DD105" i="1"/>
  <c r="CX17" i="4"/>
  <c r="DD38" i="1"/>
  <c r="DE106" i="1"/>
  <c r="DE81" i="1"/>
  <c r="DD153" i="1"/>
  <c r="DE153" i="1"/>
  <c r="DE134" i="1"/>
  <c r="DB14" i="1"/>
  <c r="CX14" i="4"/>
  <c r="CN191" i="1"/>
  <c r="DE158" i="1"/>
  <c r="DD53" i="1"/>
  <c r="DE34" i="1"/>
  <c r="CY23" i="1"/>
  <c r="CX23" i="4" s="1"/>
  <c r="DB11" i="1"/>
  <c r="DB17" i="1"/>
  <c r="DD29" i="1"/>
  <c r="CY11" i="4"/>
  <c r="DD150" i="1"/>
  <c r="DE150" i="1"/>
  <c r="CX11" i="4"/>
  <c r="DD165" i="1"/>
  <c r="DE95" i="1"/>
  <c r="DD91" i="1"/>
  <c r="DE91" i="1"/>
  <c r="DD88" i="1"/>
  <c r="DE88" i="1"/>
  <c r="DE170" i="1"/>
  <c r="DD160" i="1"/>
  <c r="DD172" i="1"/>
  <c r="DE120" i="1"/>
  <c r="DD109" i="1"/>
  <c r="DE115" i="1"/>
  <c r="DE108" i="1"/>
  <c r="DD108" i="1"/>
  <c r="DE54" i="1"/>
  <c r="DE57" i="1"/>
  <c r="DD49" i="1"/>
  <c r="DB13" i="1"/>
  <c r="CX13" i="4"/>
  <c r="CY13" i="4"/>
  <c r="DA13" i="1"/>
  <c r="CX6" i="4"/>
  <c r="CY6" i="4"/>
  <c r="DA6" i="1"/>
  <c r="DB6" i="1"/>
  <c r="DA15" i="1"/>
  <c r="CX15" i="4"/>
  <c r="CY15" i="4"/>
  <c r="DB15" i="1"/>
  <c r="DA5" i="1"/>
  <c r="CX5" i="4"/>
  <c r="CY5" i="4"/>
  <c r="DB5" i="1"/>
  <c r="DA8" i="1"/>
  <c r="CX8" i="4"/>
  <c r="CY8" i="4"/>
  <c r="DB8" i="1"/>
  <c r="DA3" i="1"/>
  <c r="CX3" i="4"/>
  <c r="CY3" i="4"/>
  <c r="DB3" i="1"/>
  <c r="DD166" i="1"/>
  <c r="DE166" i="1"/>
  <c r="DD191" i="1"/>
  <c r="DE191" i="1"/>
  <c r="DD141" i="1"/>
  <c r="DE141" i="1"/>
  <c r="DA18" i="1"/>
  <c r="CX18" i="4"/>
  <c r="CY18" i="4"/>
  <c r="DB18" i="1"/>
  <c r="DC3" i="1"/>
  <c r="CZ3" i="4"/>
  <c r="DC6" i="1"/>
  <c r="CZ6" i="4"/>
  <c r="CY7" i="1"/>
  <c r="CV7" i="4"/>
  <c r="CV6" i="4"/>
  <c r="CV8" i="4"/>
  <c r="DD42" i="1"/>
  <c r="DE42" i="1"/>
  <c r="DD50" i="1"/>
  <c r="DE50" i="1"/>
  <c r="DD154" i="1"/>
  <c r="DE154" i="1"/>
  <c r="DD43" i="1"/>
  <c r="DE43" i="1"/>
  <c r="DD11" i="1"/>
  <c r="DA11" i="4"/>
  <c r="DB11" i="4"/>
  <c r="DE11" i="1"/>
  <c r="DD85" i="1"/>
  <c r="DE85" i="1"/>
  <c r="DE145" i="1"/>
  <c r="DD145" i="1"/>
  <c r="DD48" i="1"/>
  <c r="DE48" i="1"/>
  <c r="DD176" i="1"/>
  <c r="DE176" i="1"/>
  <c r="DE107" i="1"/>
  <c r="DD107" i="1"/>
  <c r="DD86" i="1"/>
  <c r="DE86" i="1"/>
  <c r="DD142" i="1"/>
  <c r="DE142" i="1"/>
  <c r="DD79" i="1"/>
  <c r="DE79" i="1"/>
  <c r="DD164" i="1"/>
  <c r="DE164" i="1"/>
  <c r="DA10" i="1"/>
  <c r="CX10" i="4"/>
  <c r="CY10" i="4"/>
  <c r="DB10" i="1"/>
  <c r="DE92" i="1"/>
  <c r="DD92" i="1"/>
  <c r="DA19" i="1"/>
  <c r="CX19" i="4"/>
  <c r="CY19" i="4"/>
  <c r="DB19" i="1"/>
  <c r="DE140" i="1"/>
  <c r="CZ8" i="4"/>
  <c r="DC8" i="1"/>
  <c r="DD24" i="1"/>
  <c r="DA24" i="4"/>
  <c r="DB24" i="4"/>
  <c r="DE24" i="1"/>
  <c r="DD137" i="1"/>
  <c r="DE137" i="1"/>
  <c r="DD113" i="1"/>
  <c r="DE113" i="1"/>
  <c r="DD83" i="1"/>
  <c r="DE83" i="1"/>
  <c r="DD65" i="1"/>
  <c r="DE65" i="1"/>
  <c r="DD74" i="1"/>
  <c r="DE74" i="1"/>
  <c r="DD35" i="1"/>
  <c r="DE35" i="1"/>
  <c r="DD58" i="1"/>
  <c r="DE58" i="1"/>
  <c r="DD175" i="1"/>
  <c r="DE175" i="1"/>
  <c r="DD152" i="1"/>
  <c r="DE152" i="1"/>
  <c r="DD112" i="1"/>
  <c r="DE112" i="1"/>
  <c r="DA22" i="1"/>
  <c r="CX22" i="4"/>
  <c r="CY22" i="4"/>
  <c r="DB22" i="1"/>
  <c r="DD104" i="1"/>
  <c r="DE104" i="1"/>
  <c r="DD87" i="1"/>
  <c r="DE87" i="1"/>
  <c r="DD33" i="1"/>
  <c r="DE33" i="1"/>
  <c r="DA12" i="1"/>
  <c r="CX12" i="4"/>
  <c r="CY12" i="4"/>
  <c r="DB12" i="1"/>
  <c r="DD66" i="1"/>
  <c r="DE66" i="1"/>
  <c r="CY4" i="1"/>
  <c r="CV4" i="4"/>
  <c r="DD173" i="1"/>
  <c r="DE173" i="1"/>
  <c r="DD167" i="1"/>
  <c r="DE167" i="1"/>
  <c r="DA23" i="1"/>
  <c r="CY23" i="4"/>
  <c r="DD174" i="1"/>
  <c r="DE174" i="1"/>
  <c r="DD37" i="1"/>
  <c r="DE37" i="1"/>
  <c r="DD73" i="1"/>
  <c r="DE73" i="1"/>
  <c r="DD97" i="1"/>
  <c r="DE97" i="1"/>
  <c r="DC13" i="1"/>
  <c r="CZ13" i="4"/>
  <c r="CZ20" i="4"/>
  <c r="DC20" i="1"/>
  <c r="DD156" i="1"/>
  <c r="DE156" i="1"/>
  <c r="DD123" i="1"/>
  <c r="DE123" i="1"/>
  <c r="DD40" i="1"/>
  <c r="DE40" i="1"/>
  <c r="CY16" i="1"/>
  <c r="CV16" i="4"/>
  <c r="DD32" i="1"/>
  <c r="DE32" i="1"/>
  <c r="DE155" i="1"/>
  <c r="DE17" i="1"/>
  <c r="DE143" i="1"/>
  <c r="DE184" i="1"/>
  <c r="DD139" i="1"/>
  <c r="DE139" i="1"/>
  <c r="DD133" i="1"/>
  <c r="DE133" i="1"/>
  <c r="DD125" i="1"/>
  <c r="DE125" i="1"/>
  <c r="DD110" i="1"/>
  <c r="DE110" i="1"/>
  <c r="DD129" i="1"/>
  <c r="DE129" i="1"/>
  <c r="DD169" i="1"/>
  <c r="DE169" i="1"/>
  <c r="DD146" i="1"/>
  <c r="DE146" i="1"/>
  <c r="DE103" i="1"/>
  <c r="DD103" i="1"/>
  <c r="DD41" i="1"/>
  <c r="DE41" i="1"/>
  <c r="DD52" i="1"/>
  <c r="DE52" i="1"/>
  <c r="DD46" i="1"/>
  <c r="DE46" i="1"/>
  <c r="DD31" i="1"/>
  <c r="DE31" i="1"/>
  <c r="DD90" i="1"/>
  <c r="DE90" i="1"/>
  <c r="DD77" i="1"/>
  <c r="DE77" i="1"/>
  <c r="DD14" i="1"/>
  <c r="DA14" i="4"/>
  <c r="DB14" i="4"/>
  <c r="DE14" i="1"/>
  <c r="DD94" i="1"/>
  <c r="DE94" i="1"/>
  <c r="DD76" i="1"/>
  <c r="DE76" i="1"/>
  <c r="DA21" i="1"/>
  <c r="CX21" i="4"/>
  <c r="CY21" i="4"/>
  <c r="DB21" i="1"/>
  <c r="DD132" i="1"/>
  <c r="DE132" i="1"/>
  <c r="DD25" i="1"/>
  <c r="DE25" i="1"/>
  <c r="DD189" i="1"/>
  <c r="DE189" i="1"/>
  <c r="DD126" i="1"/>
  <c r="DE126" i="1"/>
  <c r="DD30" i="1"/>
  <c r="DE30" i="1"/>
  <c r="DD163" i="1"/>
  <c r="DE163" i="1"/>
  <c r="CV3" i="4"/>
  <c r="DD162" i="1"/>
  <c r="DE162" i="1"/>
  <c r="DA9" i="1"/>
  <c r="CX9" i="4"/>
  <c r="CY9" i="4"/>
  <c r="DB9" i="1"/>
  <c r="DD82" i="1"/>
  <c r="DE82" i="1"/>
  <c r="DD147" i="1"/>
  <c r="DE147" i="1"/>
  <c r="DD28" i="1"/>
  <c r="DE28" i="1"/>
  <c r="DD44" i="1"/>
  <c r="DE44" i="1"/>
  <c r="DD72" i="1"/>
  <c r="DE72" i="1"/>
  <c r="CV5" i="4"/>
  <c r="DD135" i="1"/>
  <c r="DE135" i="1"/>
  <c r="DD124" i="1"/>
  <c r="DE124" i="1"/>
  <c r="DD119" i="1"/>
  <c r="DE119" i="1"/>
  <c r="DD192" i="1"/>
  <c r="DE192" i="1"/>
  <c r="DD121" i="1"/>
  <c r="DE121" i="1"/>
  <c r="DD116" i="1"/>
  <c r="DE116" i="1"/>
  <c r="DD111" i="1"/>
  <c r="DE111" i="1"/>
  <c r="DD63" i="1"/>
  <c r="DE63" i="1"/>
  <c r="DE122" i="1"/>
  <c r="DD122" i="1"/>
  <c r="DD70" i="1"/>
  <c r="DE70" i="1"/>
  <c r="DD117" i="1"/>
  <c r="DE117" i="1"/>
  <c r="DD161" i="1"/>
  <c r="DE161" i="1"/>
  <c r="DD178" i="1"/>
  <c r="DE178" i="1"/>
  <c r="DE47" i="1"/>
  <c r="DD47" i="1"/>
  <c r="DD51" i="1"/>
  <c r="DE51" i="1"/>
  <c r="DD185" i="1"/>
  <c r="DE185" i="1"/>
  <c r="DD118" i="1"/>
  <c r="DE118" i="1"/>
  <c r="DD98" i="1"/>
  <c r="DE98" i="1"/>
  <c r="DD168" i="1"/>
  <c r="DE168" i="1"/>
  <c r="DA2" i="1"/>
  <c r="CY2" i="4"/>
  <c r="CX2" i="4"/>
  <c r="DB2" i="1"/>
  <c r="DD102" i="1"/>
  <c r="DE102" i="1"/>
  <c r="DD69" i="1"/>
  <c r="DE69" i="1"/>
  <c r="DA17" i="4"/>
  <c r="DB17" i="4"/>
  <c r="DD84" i="1"/>
  <c r="DE84" i="1"/>
  <c r="DD144" i="1"/>
  <c r="DE144" i="1"/>
  <c r="DA20" i="1"/>
  <c r="CX20" i="4"/>
  <c r="CY20" i="4"/>
  <c r="DB20" i="1"/>
  <c r="DD61" i="1"/>
  <c r="DE61" i="1"/>
  <c r="DD128" i="1"/>
  <c r="DE128" i="1"/>
  <c r="DD60" i="1"/>
  <c r="DE60" i="1"/>
  <c r="DD148" i="1"/>
  <c r="DE148" i="1"/>
  <c r="F9" i="6"/>
  <c r="F7" i="6"/>
  <c r="CN67" i="1"/>
  <c r="CN116" i="1"/>
  <c r="CO141" i="1"/>
  <c r="CO129" i="1"/>
  <c r="CO73" i="1"/>
  <c r="CO137" i="1"/>
  <c r="CN52" i="1"/>
  <c r="CN13" i="1"/>
  <c r="CN151" i="1"/>
  <c r="CO58" i="1"/>
  <c r="CK4" i="4"/>
  <c r="CL5" i="4"/>
  <c r="CL4" i="4"/>
  <c r="CK19" i="4"/>
  <c r="CN31" i="1"/>
  <c r="CO25" i="1"/>
  <c r="CO11" i="1"/>
  <c r="CO189" i="1"/>
  <c r="CN76" i="1"/>
  <c r="CN10" i="1"/>
  <c r="CN14" i="1"/>
  <c r="CN83" i="1"/>
  <c r="CO34" i="1"/>
  <c r="CN189" i="1"/>
  <c r="CO96" i="1"/>
  <c r="CN106" i="1"/>
  <c r="CN68" i="1"/>
  <c r="CO47" i="1"/>
  <c r="CN159" i="1"/>
  <c r="CO54" i="1"/>
  <c r="CN49" i="1"/>
  <c r="CO147" i="1"/>
  <c r="CN81" i="1"/>
  <c r="CO44" i="1"/>
  <c r="CL7" i="4"/>
  <c r="CO98" i="1"/>
  <c r="CO102" i="1"/>
  <c r="CK18" i="4"/>
  <c r="CN131" i="1"/>
  <c r="CK5" i="4"/>
  <c r="CO30" i="1"/>
  <c r="CO138" i="1"/>
  <c r="CN170" i="1"/>
  <c r="CO72" i="1"/>
  <c r="CN33" i="1"/>
  <c r="CO161" i="1"/>
  <c r="CO125" i="1"/>
  <c r="CO158" i="1"/>
  <c r="CN12" i="1"/>
  <c r="CN133" i="1"/>
  <c r="CO74" i="1"/>
  <c r="CN155" i="1"/>
  <c r="CN142" i="1"/>
  <c r="CO66" i="1"/>
  <c r="CN55" i="1"/>
  <c r="CN140" i="1"/>
  <c r="CN26" i="1"/>
  <c r="CN164" i="1"/>
  <c r="CO172" i="1"/>
  <c r="CN92" i="1"/>
  <c r="CK7" i="4"/>
  <c r="CO69" i="1"/>
  <c r="CN61" i="1"/>
  <c r="CN70" i="1"/>
  <c r="CO88" i="1"/>
  <c r="CO124" i="1"/>
  <c r="CO16" i="1"/>
  <c r="CN150" i="1"/>
  <c r="CO78" i="1"/>
  <c r="CO35" i="1"/>
  <c r="CN163" i="1"/>
  <c r="CO127" i="1"/>
  <c r="CN107" i="1"/>
  <c r="CN7" i="1"/>
  <c r="CL19" i="4"/>
  <c r="CO152" i="1"/>
  <c r="CO48" i="1"/>
  <c r="CO40" i="1"/>
  <c r="CN36" i="1"/>
  <c r="CO160" i="1"/>
  <c r="CO53" i="1"/>
  <c r="CO165" i="1"/>
  <c r="CO38" i="1"/>
  <c r="CO101" i="1"/>
  <c r="CO186" i="1"/>
  <c r="CO46" i="1"/>
  <c r="CN165" i="1"/>
  <c r="CO5" i="1"/>
  <c r="CO18" i="1"/>
  <c r="CN115" i="1"/>
  <c r="CN21" i="1"/>
  <c r="CO29" i="1"/>
  <c r="CN64" i="1"/>
  <c r="CO99" i="1"/>
  <c r="CO122" i="1"/>
  <c r="CO120" i="1"/>
  <c r="CO84" i="1"/>
  <c r="CL18" i="4"/>
  <c r="CN17" i="1"/>
  <c r="CO187" i="1"/>
  <c r="CO100" i="1"/>
  <c r="CO145" i="1"/>
  <c r="CO59" i="1"/>
  <c r="CO20" i="1"/>
  <c r="CN117" i="1"/>
  <c r="CO156" i="1"/>
  <c r="CO185" i="1"/>
  <c r="CO95" i="1"/>
  <c r="CN89" i="1"/>
  <c r="CN63" i="1"/>
  <c r="CN174" i="1"/>
  <c r="CL13" i="4"/>
  <c r="CK13" i="4"/>
  <c r="CO110" i="1"/>
  <c r="CN176" i="1"/>
  <c r="CL15" i="4"/>
  <c r="CK15" i="4"/>
  <c r="CN175" i="1"/>
  <c r="CL14" i="4"/>
  <c r="CK14" i="4"/>
  <c r="CL10" i="4"/>
  <c r="CK10" i="4"/>
  <c r="CO132" i="1"/>
  <c r="CN82" i="1"/>
  <c r="CO39" i="1"/>
  <c r="CN182" i="1"/>
  <c r="CL9" i="4"/>
  <c r="CK9" i="4"/>
  <c r="CN192" i="1"/>
  <c r="CL2" i="4"/>
  <c r="CK2" i="4"/>
  <c r="CO181" i="1"/>
  <c r="CL8" i="4"/>
  <c r="CK8" i="4"/>
  <c r="CO180" i="1"/>
  <c r="CO113" i="1"/>
  <c r="CO162" i="1"/>
  <c r="CL22" i="4"/>
  <c r="CK22" i="4"/>
  <c r="CO174" i="1"/>
  <c r="CN134" i="1"/>
  <c r="CN180" i="1"/>
  <c r="CO27" i="1"/>
  <c r="CO144" i="1"/>
  <c r="CO179" i="1"/>
  <c r="CL12" i="4"/>
  <c r="CK12" i="4"/>
  <c r="CN178" i="1"/>
  <c r="CL11" i="4"/>
  <c r="CK11" i="4"/>
  <c r="CL3" i="4"/>
  <c r="CK3" i="4"/>
  <c r="CO109" i="1"/>
  <c r="CO166" i="1"/>
  <c r="CL20" i="4"/>
  <c r="CK20" i="4"/>
  <c r="CO171" i="1"/>
  <c r="CN173" i="1"/>
  <c r="CN45" i="1"/>
  <c r="CO75" i="1"/>
  <c r="CN139" i="1"/>
  <c r="CN177" i="1"/>
  <c r="CL16" i="4"/>
  <c r="CK16" i="4"/>
  <c r="CN188" i="1"/>
  <c r="CL6" i="4"/>
  <c r="CK6" i="4"/>
  <c r="CL24" i="4"/>
  <c r="CK24" i="4"/>
  <c r="CL17" i="4"/>
  <c r="CK17" i="4"/>
  <c r="CN190" i="1"/>
  <c r="CO60" i="1"/>
  <c r="CL23" i="4"/>
  <c r="CK23" i="4"/>
  <c r="CL21" i="4"/>
  <c r="CK21" i="4"/>
  <c r="CO87" i="1"/>
  <c r="CN184" i="1"/>
  <c r="CO51" i="1"/>
  <c r="CN51" i="1"/>
  <c r="CO182" i="1"/>
  <c r="CO126" i="1"/>
  <c r="CO188" i="1"/>
  <c r="CO103" i="1"/>
  <c r="CO56" i="1"/>
  <c r="CN146" i="1"/>
  <c r="CN114" i="1"/>
  <c r="CN123" i="1"/>
  <c r="CO175" i="1"/>
  <c r="CN85" i="1"/>
  <c r="CN135" i="1"/>
  <c r="CO80" i="1"/>
  <c r="CO167" i="1"/>
  <c r="CO128" i="1"/>
  <c r="CO112" i="1"/>
  <c r="CN183" i="1"/>
  <c r="CN43" i="1"/>
  <c r="CO97" i="1"/>
  <c r="CN37" i="1"/>
  <c r="CO28" i="1"/>
  <c r="CO105" i="1"/>
  <c r="CO90" i="1"/>
  <c r="CN136" i="1"/>
  <c r="CO4" i="1"/>
  <c r="CO148" i="1"/>
  <c r="CN130" i="1"/>
  <c r="CO65" i="1"/>
  <c r="CO8" i="1"/>
  <c r="CO168" i="1"/>
  <c r="CO15" i="1"/>
  <c r="CO121" i="1"/>
  <c r="CO93" i="1"/>
  <c r="CO23" i="1"/>
  <c r="CO177" i="1"/>
  <c r="CO79" i="1"/>
  <c r="CO42" i="1"/>
  <c r="CO32" i="1"/>
  <c r="CO111" i="1"/>
  <c r="CO62" i="1"/>
  <c r="CO176" i="1"/>
  <c r="CO6" i="1"/>
  <c r="CO143" i="1"/>
  <c r="CO119" i="1"/>
  <c r="CO3" i="1"/>
  <c r="CO86" i="1"/>
  <c r="CO157" i="1"/>
  <c r="CO192" i="1"/>
  <c r="CO24" i="1"/>
  <c r="CO169" i="1"/>
  <c r="CO91" i="1"/>
  <c r="CN108" i="1"/>
  <c r="CO50" i="1"/>
  <c r="CO71" i="1"/>
  <c r="CO77" i="1"/>
  <c r="CO94" i="1"/>
  <c r="CO149" i="1"/>
  <c r="CO22" i="1"/>
  <c r="CN153" i="1"/>
  <c r="CO57" i="1"/>
  <c r="CN2" i="1"/>
  <c r="CO9" i="1"/>
  <c r="CO118" i="1"/>
  <c r="CO19" i="1"/>
  <c r="CO41" i="1"/>
  <c r="CO104" i="1"/>
  <c r="CO154" i="1"/>
  <c r="DB23" i="1" l="1"/>
  <c r="DD23" i="1"/>
  <c r="DA23" i="4"/>
  <c r="DB23" i="4"/>
  <c r="DE23" i="1"/>
  <c r="DD12" i="1"/>
  <c r="DA12" i="4"/>
  <c r="DB12" i="4"/>
  <c r="DE12" i="1"/>
  <c r="DA16" i="1"/>
  <c r="CX16" i="4"/>
  <c r="CY16" i="4"/>
  <c r="DB16" i="1"/>
  <c r="DD3" i="1"/>
  <c r="DA3" i="4"/>
  <c r="DB3" i="4"/>
  <c r="DE3" i="1"/>
  <c r="DD15" i="1"/>
  <c r="DA15" i="4"/>
  <c r="DB15" i="4"/>
  <c r="DE15" i="1"/>
  <c r="DD19" i="1"/>
  <c r="DA19" i="4"/>
  <c r="DB19" i="4"/>
  <c r="DE19" i="1"/>
  <c r="DD18" i="1"/>
  <c r="DA18" i="4"/>
  <c r="DB18" i="4"/>
  <c r="DE18" i="1"/>
  <c r="DA6" i="4"/>
  <c r="DB6" i="4"/>
  <c r="DE6" i="1"/>
  <c r="DD6" i="1"/>
  <c r="DD2" i="1"/>
  <c r="DB2" i="4"/>
  <c r="DA2" i="4"/>
  <c r="DE2" i="1"/>
  <c r="DA21" i="4"/>
  <c r="DD21" i="1"/>
  <c r="DB21" i="4"/>
  <c r="DE21" i="1"/>
  <c r="DA4" i="1"/>
  <c r="CX4" i="4"/>
  <c r="CY4" i="4"/>
  <c r="DB4" i="1"/>
  <c r="DD8" i="1"/>
  <c r="DA8" i="4"/>
  <c r="DB8" i="4"/>
  <c r="DE8" i="1"/>
  <c r="DD20" i="1"/>
  <c r="DA20" i="4"/>
  <c r="DB20" i="4"/>
  <c r="DE20" i="1"/>
  <c r="DA13" i="4"/>
  <c r="DB13" i="4"/>
  <c r="DD13" i="1"/>
  <c r="DE13" i="1"/>
  <c r="DA7" i="1"/>
  <c r="CX7" i="4"/>
  <c r="CY7" i="4"/>
  <c r="DB7" i="1"/>
  <c r="DD22" i="1"/>
  <c r="DA22" i="4"/>
  <c r="DB22" i="4"/>
  <c r="DE22" i="1"/>
  <c r="DD9" i="1"/>
  <c r="DA9" i="4"/>
  <c r="DB9" i="4"/>
  <c r="DE9" i="1"/>
  <c r="DD10" i="1"/>
  <c r="DE10" i="1"/>
  <c r="DA10" i="4"/>
  <c r="DB10" i="4"/>
  <c r="DD5" i="1"/>
  <c r="DA5" i="4"/>
  <c r="DB5" i="4"/>
  <c r="DE5" i="1"/>
  <c r="DD7" i="1" l="1"/>
  <c r="DA7" i="4"/>
  <c r="DB7" i="4"/>
  <c r="DE7" i="1"/>
  <c r="DD16" i="1"/>
  <c r="DA16" i="4"/>
  <c r="DB16" i="4"/>
  <c r="DE16" i="1"/>
  <c r="DD4" i="1"/>
  <c r="DA4" i="4"/>
  <c r="DB4" i="4"/>
  <c r="DE4" i="1"/>
</calcChain>
</file>

<file path=xl/sharedStrings.xml><?xml version="1.0" encoding="utf-8"?>
<sst xmlns="http://schemas.openxmlformats.org/spreadsheetml/2006/main" count="3452" uniqueCount="423">
  <si>
    <t>Sqft</t>
  </si>
  <si>
    <t>UnfinBsmt</t>
  </si>
  <si>
    <t>Rcn</t>
  </si>
  <si>
    <t>Mult</t>
  </si>
  <si>
    <t>SE</t>
  </si>
  <si>
    <t>B</t>
  </si>
  <si>
    <t>E032680</t>
  </si>
  <si>
    <t>E033659</t>
  </si>
  <si>
    <t>E033786</t>
  </si>
  <si>
    <t>E039940</t>
  </si>
  <si>
    <t>E036390</t>
  </si>
  <si>
    <t>E036249</t>
  </si>
  <si>
    <t>E036547</t>
  </si>
  <si>
    <t>E036961</t>
  </si>
  <si>
    <t>E036147</t>
  </si>
  <si>
    <t>E035921</t>
  </si>
  <si>
    <t>E041484</t>
  </si>
  <si>
    <t>E041073</t>
  </si>
  <si>
    <t>Subtype</t>
  </si>
  <si>
    <t>#Stories</t>
  </si>
  <si>
    <t>Fuel</t>
  </si>
  <si>
    <t>Fixtures</t>
  </si>
  <si>
    <t>%Comp</t>
  </si>
  <si>
    <t>Days Prior</t>
  </si>
  <si>
    <t>SP-Det</t>
  </si>
  <si>
    <t>CON</t>
  </si>
  <si>
    <t>R1</t>
  </si>
  <si>
    <t>RT</t>
  </si>
  <si>
    <t>E038606</t>
  </si>
  <si>
    <t>E038828</t>
  </si>
  <si>
    <t>E039566</t>
  </si>
  <si>
    <t>E031855</t>
  </si>
  <si>
    <t>E038551</t>
  </si>
  <si>
    <t>E031946</t>
  </si>
  <si>
    <t>E041393</t>
  </si>
  <si>
    <t>E040615</t>
  </si>
  <si>
    <t>E030320</t>
  </si>
  <si>
    <t>E040255</t>
  </si>
  <si>
    <t>E031724</t>
  </si>
  <si>
    <t>E038071</t>
  </si>
  <si>
    <t>E036998</t>
  </si>
  <si>
    <t>E038424</t>
  </si>
  <si>
    <t>E038642</t>
  </si>
  <si>
    <t>TNbhd</t>
  </si>
  <si>
    <t>Decade</t>
  </si>
  <si>
    <t>FnBsmt</t>
  </si>
  <si>
    <t>WdStove</t>
  </si>
  <si>
    <t>DP2</t>
  </si>
  <si>
    <t>24Final</t>
  </si>
  <si>
    <t>CN</t>
  </si>
  <si>
    <t>V</t>
  </si>
  <si>
    <t>N</t>
  </si>
  <si>
    <t>E040077</t>
  </si>
  <si>
    <t>E033001</t>
  </si>
  <si>
    <t>E034576</t>
  </si>
  <si>
    <t>E037544</t>
  </si>
  <si>
    <t>E038391</t>
  </si>
  <si>
    <t>E040379</t>
  </si>
  <si>
    <t>E040568</t>
  </si>
  <si>
    <t>E034365</t>
  </si>
  <si>
    <t>E029991</t>
  </si>
  <si>
    <t>E038759</t>
  </si>
  <si>
    <t>E034652</t>
  </si>
  <si>
    <t>E033710</t>
  </si>
  <si>
    <t>E038239</t>
  </si>
  <si>
    <t>E042241</t>
  </si>
  <si>
    <t>E037224</t>
  </si>
  <si>
    <t>E031579</t>
  </si>
  <si>
    <t>E038755</t>
  </si>
  <si>
    <t>E038286</t>
  </si>
  <si>
    <t>Nbhd</t>
  </si>
  <si>
    <t>Age</t>
  </si>
  <si>
    <t>Carport</t>
  </si>
  <si>
    <t>Bench</t>
  </si>
  <si>
    <t>24Lnd</t>
  </si>
  <si>
    <t>G+</t>
  </si>
  <si>
    <t>EX</t>
  </si>
  <si>
    <t>E034885</t>
  </si>
  <si>
    <t>E033932</t>
  </si>
  <si>
    <t>E037584</t>
  </si>
  <si>
    <t>E042136</t>
  </si>
  <si>
    <t>E030582</t>
  </si>
  <si>
    <t>E036220</t>
  </si>
  <si>
    <t>E033238</t>
  </si>
  <si>
    <t>E041812</t>
  </si>
  <si>
    <t>Year</t>
  </si>
  <si>
    <t>Cycle</t>
  </si>
  <si>
    <t>Cnd</t>
  </si>
  <si>
    <t>AttGar</t>
  </si>
  <si>
    <t>RES</t>
  </si>
  <si>
    <t>E033685</t>
  </si>
  <si>
    <t>E033667</t>
  </si>
  <si>
    <t>E041827</t>
  </si>
  <si>
    <t>E041136</t>
  </si>
  <si>
    <t>E039705</t>
  </si>
  <si>
    <t>E033169</t>
  </si>
  <si>
    <t>E039047</t>
  </si>
  <si>
    <t>E041270</t>
  </si>
  <si>
    <t>E032950</t>
  </si>
  <si>
    <t>E039905</t>
  </si>
  <si>
    <t>E032907</t>
  </si>
  <si>
    <t>E036759</t>
  </si>
  <si>
    <t>E038410</t>
  </si>
  <si>
    <t>E039207</t>
  </si>
  <si>
    <t>E041038</t>
  </si>
  <si>
    <t>E041881</t>
  </si>
  <si>
    <t>PRD</t>
  </si>
  <si>
    <t>YrBlt</t>
  </si>
  <si>
    <t>GarageArea</t>
  </si>
  <si>
    <t>R2</t>
  </si>
  <si>
    <t>SR</t>
  </si>
  <si>
    <t>G</t>
  </si>
  <si>
    <t>E032798</t>
  </si>
  <si>
    <t>E029810</t>
  </si>
  <si>
    <t>E031736</t>
  </si>
  <si>
    <t>E031154</t>
  </si>
  <si>
    <t>E031241</t>
  </si>
  <si>
    <t>E038570</t>
  </si>
  <si>
    <t>E038145</t>
  </si>
  <si>
    <t>E038363</t>
  </si>
  <si>
    <t>E038727</t>
  </si>
  <si>
    <t>E040561</t>
  </si>
  <si>
    <t>E031561</t>
  </si>
  <si>
    <t>E037410</t>
  </si>
  <si>
    <t>E029734</t>
  </si>
  <si>
    <t>E031609</t>
  </si>
  <si>
    <t>Use</t>
  </si>
  <si>
    <t>Style</t>
  </si>
  <si>
    <t>GarSpace</t>
  </si>
  <si>
    <t>DP3</t>
  </si>
  <si>
    <t>25Det</t>
  </si>
  <si>
    <t>CO</t>
  </si>
  <si>
    <t>S</t>
  </si>
  <si>
    <t>O</t>
  </si>
  <si>
    <t>E042002</t>
  </si>
  <si>
    <t>E033820</t>
  </si>
  <si>
    <t>E031496</t>
  </si>
  <si>
    <t>E040787</t>
  </si>
  <si>
    <t>E034159</t>
  </si>
  <si>
    <t>E038076</t>
  </si>
  <si>
    <t>E034548</t>
  </si>
  <si>
    <t>E030852</t>
  </si>
  <si>
    <t>E030321</t>
  </si>
  <si>
    <t>E038694</t>
  </si>
  <si>
    <t>E037014</t>
  </si>
  <si>
    <t>E034682</t>
  </si>
  <si>
    <t>E038963</t>
  </si>
  <si>
    <t>E042006</t>
  </si>
  <si>
    <t>BARGA</t>
  </si>
  <si>
    <t>UpprFn</t>
  </si>
  <si>
    <t>MsnryTrim</t>
  </si>
  <si>
    <t>Mdl Formula Total</t>
  </si>
  <si>
    <t>F+</t>
  </si>
  <si>
    <t>HP</t>
  </si>
  <si>
    <t>HT</t>
  </si>
  <si>
    <t>E033239</t>
  </si>
  <si>
    <t>E042191</t>
  </si>
  <si>
    <t>E033093</t>
  </si>
  <si>
    <t>E034399</t>
  </si>
  <si>
    <t>E036832</t>
  </si>
  <si>
    <t>E042159</t>
  </si>
  <si>
    <t>E037076</t>
  </si>
  <si>
    <t>E037178</t>
  </si>
  <si>
    <t>E033682</t>
  </si>
  <si>
    <t>E037374</t>
  </si>
  <si>
    <t>E033835</t>
  </si>
  <si>
    <t>MainFn</t>
  </si>
  <si>
    <t>Bsmt</t>
  </si>
  <si>
    <t>LivArea Range</t>
  </si>
  <si>
    <t>Ecn</t>
  </si>
  <si>
    <t>24Bldg</t>
  </si>
  <si>
    <t>TD</t>
  </si>
  <si>
    <t>RN</t>
  </si>
  <si>
    <t>E039262</t>
  </si>
  <si>
    <t>E040104</t>
  </si>
  <si>
    <t>E039160</t>
  </si>
  <si>
    <t>E042199</t>
  </si>
  <si>
    <t>E036385</t>
  </si>
  <si>
    <t>E041035</t>
  </si>
  <si>
    <t>E041617</t>
  </si>
  <si>
    <t>E033286</t>
  </si>
  <si>
    <t>E030889</t>
  </si>
  <si>
    <t>E032239</t>
  </si>
  <si>
    <t>E032671</t>
  </si>
  <si>
    <t>LnAcres</t>
  </si>
  <si>
    <t>Qlty</t>
  </si>
  <si>
    <t>CoverSf</t>
  </si>
  <si>
    <t>Ratio</t>
  </si>
  <si>
    <t>BG</t>
  </si>
  <si>
    <t>V+</t>
  </si>
  <si>
    <t>E031562</t>
  </si>
  <si>
    <t>E038080</t>
  </si>
  <si>
    <t>E032184</t>
  </si>
  <si>
    <t>E037120</t>
  </si>
  <si>
    <t>E032293</t>
  </si>
  <si>
    <t>E030013</t>
  </si>
  <si>
    <t>E039786</t>
  </si>
  <si>
    <t>E040740</t>
  </si>
  <si>
    <t>SWD</t>
  </si>
  <si>
    <t>MsnryFP</t>
  </si>
  <si>
    <t>1/2Bath</t>
  </si>
  <si>
    <t>SaleType</t>
  </si>
  <si>
    <t>Verify</t>
  </si>
  <si>
    <t>HE</t>
  </si>
  <si>
    <t>CP</t>
  </si>
  <si>
    <t>A+</t>
  </si>
  <si>
    <t>E+</t>
  </si>
  <si>
    <t>GD</t>
  </si>
  <si>
    <t>E033730</t>
  </si>
  <si>
    <t>E040559</t>
  </si>
  <si>
    <t>E033803</t>
  </si>
  <si>
    <t>E034752</t>
  </si>
  <si>
    <t>E030922</t>
  </si>
  <si>
    <t>E040693</t>
  </si>
  <si>
    <t>E037251</t>
  </si>
  <si>
    <t>E033210</t>
  </si>
  <si>
    <t>E034974</t>
  </si>
  <si>
    <t>E037931</t>
  </si>
  <si>
    <t>E040079</t>
  </si>
  <si>
    <t>E037513</t>
  </si>
  <si>
    <t>E037233</t>
  </si>
  <si>
    <t>E038946</t>
  </si>
  <si>
    <t>E030337</t>
  </si>
  <si>
    <t>E030817</t>
  </si>
  <si>
    <t>E034352</t>
  </si>
  <si>
    <t>E042043</t>
  </si>
  <si>
    <t>Type</t>
  </si>
  <si>
    <t>Zone</t>
  </si>
  <si>
    <t>Living Area</t>
  </si>
  <si>
    <t>3/4Bath</t>
  </si>
  <si>
    <t>X</t>
  </si>
  <si>
    <t>AV</t>
  </si>
  <si>
    <t>ER</t>
  </si>
  <si>
    <t>E034378</t>
  </si>
  <si>
    <t>E030657</t>
  </si>
  <si>
    <t>E037695</t>
  </si>
  <si>
    <t>E036415</t>
  </si>
  <si>
    <t>E042258</t>
  </si>
  <si>
    <t>E041730</t>
  </si>
  <si>
    <t>E037684</t>
  </si>
  <si>
    <t>E030959</t>
  </si>
  <si>
    <t>E037648</t>
  </si>
  <si>
    <t>E033374</t>
  </si>
  <si>
    <t>E032323</t>
  </si>
  <si>
    <t>E032821</t>
  </si>
  <si>
    <t>E041014</t>
  </si>
  <si>
    <t>E036826</t>
  </si>
  <si>
    <t>E030759</t>
  </si>
  <si>
    <t>E036215</t>
  </si>
  <si>
    <t>E041614</t>
  </si>
  <si>
    <t>RC</t>
  </si>
  <si>
    <t>SPWD</t>
  </si>
  <si>
    <t>Acres</t>
  </si>
  <si>
    <t>AC</t>
  </si>
  <si>
    <t>Patio</t>
  </si>
  <si>
    <t>Mdl Formula DP</t>
  </si>
  <si>
    <t>SL</t>
  </si>
  <si>
    <t>A</t>
  </si>
  <si>
    <t>VG</t>
  </si>
  <si>
    <t>E032083</t>
  </si>
  <si>
    <t>E032509</t>
  </si>
  <si>
    <t>E032618</t>
  </si>
  <si>
    <t>E032941</t>
  </si>
  <si>
    <t>E030999</t>
  </si>
  <si>
    <t>E041818</t>
  </si>
  <si>
    <t>E037979</t>
  </si>
  <si>
    <t>E041829</t>
  </si>
  <si>
    <t>E031130</t>
  </si>
  <si>
    <t>E032716</t>
  </si>
  <si>
    <t>EffYr</t>
  </si>
  <si>
    <t>AddFn</t>
  </si>
  <si>
    <t>BltinGar</t>
  </si>
  <si>
    <t>Date</t>
  </si>
  <si>
    <t>CE</t>
  </si>
  <si>
    <t>E</t>
  </si>
  <si>
    <t>FD</t>
  </si>
  <si>
    <t>BH</t>
  </si>
  <si>
    <t>E029732</t>
  </si>
  <si>
    <t>E037510</t>
  </si>
  <si>
    <t>E038645</t>
  </si>
  <si>
    <t>E032549</t>
  </si>
  <si>
    <t>E039398</t>
  </si>
  <si>
    <t>E038634</t>
  </si>
  <si>
    <t>E035168</t>
  </si>
  <si>
    <t>E041498</t>
  </si>
  <si>
    <t>E034415</t>
  </si>
  <si>
    <t>E040338</t>
  </si>
  <si>
    <t>E040756</t>
  </si>
  <si>
    <t>E031763</t>
  </si>
  <si>
    <t>E041978</t>
  </si>
  <si>
    <t>E039285</t>
  </si>
  <si>
    <t>E031952</t>
  </si>
  <si>
    <t>E040614</t>
  </si>
  <si>
    <t>E034200</t>
  </si>
  <si>
    <t>Parcel</t>
  </si>
  <si>
    <t>EffAge</t>
  </si>
  <si>
    <t>PrefabFP</t>
  </si>
  <si>
    <t>WdDeck</t>
  </si>
  <si>
    <t>Rcnld</t>
  </si>
  <si>
    <t>DP1</t>
  </si>
  <si>
    <t>Excise</t>
  </si>
  <si>
    <t>Price</t>
  </si>
  <si>
    <t>YN1</t>
  </si>
  <si>
    <t>E033720</t>
  </si>
  <si>
    <t>E030134</t>
  </si>
  <si>
    <t>E030552</t>
  </si>
  <si>
    <t>E031098</t>
  </si>
  <si>
    <t>E037932</t>
  </si>
  <si>
    <t>E034851</t>
  </si>
  <si>
    <t>E029790</t>
  </si>
  <si>
    <t>E030621</t>
  </si>
  <si>
    <t>E029772</t>
  </si>
  <si>
    <t>Heat</t>
  </si>
  <si>
    <t>CU</t>
  </si>
  <si>
    <t>Y</t>
  </si>
  <si>
    <t>E038998</t>
  </si>
  <si>
    <t>E041800</t>
  </si>
  <si>
    <t>E033928</t>
  </si>
  <si>
    <t>E037892</t>
  </si>
  <si>
    <t>E033917</t>
  </si>
  <si>
    <t>E041702</t>
  </si>
  <si>
    <t>E033357</t>
  </si>
  <si>
    <t>E036543</t>
  </si>
  <si>
    <t>E036223</t>
  </si>
  <si>
    <t>E036743</t>
  </si>
  <si>
    <t>E030578</t>
  </si>
  <si>
    <t>E041211</t>
  </si>
  <si>
    <t>E041302</t>
  </si>
  <si>
    <t>E034488</t>
  </si>
  <si>
    <t>Diff</t>
  </si>
  <si>
    <t>Term</t>
  </si>
  <si>
    <t>Estimate</t>
  </si>
  <si>
    <t>Std Error</t>
  </si>
  <si>
    <t>t Ratio</t>
  </si>
  <si>
    <t>Prob&gt;|t|</t>
  </si>
  <si>
    <t>Intercept</t>
  </si>
  <si>
    <t>&lt;.0001</t>
  </si>
  <si>
    <t>Days Prior to Assessment</t>
  </si>
  <si>
    <t>Quality</t>
  </si>
  <si>
    <t>L</t>
  </si>
  <si>
    <t>F-</t>
  </si>
  <si>
    <t>F</t>
  </si>
  <si>
    <t xml:space="preserve">Condition </t>
  </si>
  <si>
    <t>VP</t>
  </si>
  <si>
    <t>PR</t>
  </si>
  <si>
    <t>FR</t>
  </si>
  <si>
    <t>Days Prior Total</t>
  </si>
  <si>
    <t>Mdl Res Intercept</t>
  </si>
  <si>
    <t>Mdl Land Intercept</t>
  </si>
  <si>
    <t>Mdl LnAcres</t>
  </si>
  <si>
    <t>Mdl Qlty</t>
  </si>
  <si>
    <t>Mdl Condition</t>
  </si>
  <si>
    <t>Mdl Age</t>
  </si>
  <si>
    <t>Mdl MainFn</t>
  </si>
  <si>
    <t>Mdl UpprFn</t>
  </si>
  <si>
    <t>Mdl AddFn</t>
  </si>
  <si>
    <t>Mdl Bsmt</t>
  </si>
  <si>
    <t>Mdl Fixtures</t>
  </si>
  <si>
    <t>Match Mdl Value</t>
  </si>
  <si>
    <t>Unadj Det Value</t>
  </si>
  <si>
    <t>Unadj Res Value</t>
  </si>
  <si>
    <t>Unadj Land Value</t>
  </si>
  <si>
    <t>Unadj Total Value</t>
  </si>
  <si>
    <t xml:space="preserve">Unadj Ratio </t>
  </si>
  <si>
    <t>Unadj Diff</t>
  </si>
  <si>
    <t>Nbhd Adj</t>
  </si>
  <si>
    <t>Quality Adj</t>
  </si>
  <si>
    <t>Condition Adj</t>
  </si>
  <si>
    <t>Living Area Adj</t>
  </si>
  <si>
    <t>Decade Adj</t>
  </si>
  <si>
    <t>Det/Nbhd Adj</t>
  </si>
  <si>
    <t xml:space="preserve">Res Adj </t>
  </si>
  <si>
    <t>Adjusted Res</t>
  </si>
  <si>
    <t xml:space="preserve">Adj Det </t>
  </si>
  <si>
    <t>Adjusted Impr Total</t>
  </si>
  <si>
    <t>Adjusted Land Total</t>
  </si>
  <si>
    <t>Adjusted Total</t>
  </si>
  <si>
    <t>Adjusted Imp Diff</t>
  </si>
  <si>
    <t>Adjusted Lnd Diff</t>
  </si>
  <si>
    <t>Adjusted Total Difference</t>
  </si>
  <si>
    <t>Final Ratio</t>
  </si>
  <si>
    <t>Grand Total</t>
  </si>
  <si>
    <t xml:space="preserve">Average of Unadj Ratio </t>
  </si>
  <si>
    <t>Count of Parcel</t>
  </si>
  <si>
    <t>Sales</t>
  </si>
  <si>
    <t>Mdl MsnryFP</t>
  </si>
  <si>
    <t xml:space="preserve">Mdl PrefabFP </t>
  </si>
  <si>
    <t>Mdl GarageArea</t>
  </si>
  <si>
    <t>Adj</t>
  </si>
  <si>
    <t>COUNT</t>
  </si>
  <si>
    <t>NUMBER IN SAMPLE</t>
  </si>
  <si>
    <t>MEDIAN</t>
  </si>
  <si>
    <t>.5(N)+.5</t>
  </si>
  <si>
    <t>TOTAL SALES PRICE</t>
  </si>
  <si>
    <t>MEAN</t>
  </si>
  <si>
    <t>SUM OF RATIOS / NUMBER OF SALES</t>
  </si>
  <si>
    <t>TOTAL ASSESSED VALUE</t>
  </si>
  <si>
    <t>WEIGHTED MEAN</t>
  </si>
  <si>
    <t>TOTAL A/V / TOTAL SALE PRICE</t>
  </si>
  <si>
    <t>SUM OF RATIOS</t>
  </si>
  <si>
    <t>MEAN SALE PRICE</t>
  </si>
  <si>
    <t>COD</t>
  </si>
  <si>
    <t>(sum of ABS(median-ratio) / NUMBER OF SALES / MEDIAN) * 100</t>
  </si>
  <si>
    <t>MEAN A/V</t>
  </si>
  <si>
    <t>COV</t>
  </si>
  <si>
    <t>(SQRT ((sum of (mean ratio-ratio)^2 )/ (NUMBER OF SALES-1) )/MEAN) * 100</t>
  </si>
  <si>
    <t>R^2</t>
  </si>
  <si>
    <t>mean/weighted mean</t>
  </si>
  <si>
    <t># of Inventory</t>
  </si>
  <si>
    <t>STD. DEVIATION</t>
  </si>
  <si>
    <t>SQRT ((sum of (mean ratio-ratio)^2 )/ (NUMBER OF SALES-1)) * 100</t>
  </si>
  <si>
    <t>% of Inventory Sold</t>
  </si>
  <si>
    <t xml:space="preserve">STANDARD ERROR </t>
  </si>
  <si>
    <t>Cnt</t>
  </si>
  <si>
    <t>NBHD</t>
  </si>
  <si>
    <t>2025 Final Value</t>
  </si>
  <si>
    <t>Error from Model</t>
  </si>
  <si>
    <t>Error^2</t>
  </si>
  <si>
    <t>Mean Sale Price</t>
  </si>
  <si>
    <t>Error from Mean SP</t>
  </si>
  <si>
    <t xml:space="preserve"> ABS(median minus ratio)</t>
  </si>
  <si>
    <t>mean ratio minus ratio</t>
  </si>
  <si>
    <t>(mean ratio minus ratio) 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</si>
</sst>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mm/dd/yyyy;@"/>
    <numFmt numFmtId="165" formatCode="0.000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C5B03"/>
        <bgColor indexed="64"/>
      </patternFill>
    </fill>
    <fill>
      <patternFill patternType="solid">
        <fgColor rgb="FFF03246"/>
        <bgColor indexed="64"/>
      </patternFill>
    </fill>
    <fill>
      <patternFill patternType="solid">
        <fgColor rgb="FF23E72E"/>
        <bgColor indexed="64"/>
      </patternFill>
    </fill>
    <fill>
      <patternFill patternType="solid">
        <fgColor rgb="FFFFF977"/>
        <bgColor indexed="64"/>
      </patternFill>
    </fill>
    <fill>
      <patternFill patternType="solid">
        <fgColor rgb="FFE5740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64" fontId="0" fillId="0" borderId="0" xfId="0" applyNumberFormat="1"/>
    <xf numFmtId="9" fontId="0" fillId="0" borderId="0" xfId="1" applyFont="1"/>
    <xf numFmtId="0" fontId="0" fillId="0" borderId="1" xfId="0" applyBorder="1"/>
    <xf numFmtId="0" fontId="3" fillId="0" borderId="1" xfId="0" applyFont="1" applyBorder="1"/>
    <xf numFmtId="0" fontId="3" fillId="7" borderId="1" xfId="0" applyFont="1" applyFill="1" applyBorder="1"/>
    <xf numFmtId="0" fontId="2" fillId="0" borderId="1" xfId="0" applyFont="1" applyBorder="1"/>
    <xf numFmtId="0" fontId="0" fillId="7" borderId="0" xfId="0" applyFill="1" applyAlignment="1">
      <alignment horizontal="left" wrapText="1"/>
    </xf>
    <xf numFmtId="9" fontId="0" fillId="7" borderId="0" xfId="1" applyFont="1" applyFill="1" applyAlignment="1">
      <alignment horizontal="left" wrapText="1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8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2" fontId="0" fillId="0" borderId="0" xfId="1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10" borderId="6" xfId="4" applyFont="1" applyFill="1" applyBorder="1" applyAlignment="1">
      <alignment horizontal="center"/>
    </xf>
    <xf numFmtId="0" fontId="10" fillId="11" borderId="6" xfId="4" applyFont="1" applyFill="1" applyBorder="1" applyAlignment="1">
      <alignment horizontal="center"/>
    </xf>
    <xf numFmtId="2" fontId="10" fillId="10" borderId="6" xfId="4" applyNumberFormat="1" applyFont="1" applyFill="1" applyBorder="1" applyAlignment="1">
      <alignment horizontal="center"/>
    </xf>
    <xf numFmtId="0" fontId="10" fillId="10" borderId="7" xfId="4" applyFont="1" applyFill="1" applyBorder="1" applyAlignment="1">
      <alignment horizontal="center" wrapText="1"/>
    </xf>
    <xf numFmtId="6" fontId="11" fillId="9" borderId="8" xfId="0" applyNumberFormat="1" applyFont="1" applyFill="1" applyBorder="1" applyAlignment="1">
      <alignment horizontal="center" wrapText="1"/>
    </xf>
    <xf numFmtId="6" fontId="11" fillId="9" borderId="9" xfId="0" applyNumberFormat="1" applyFont="1" applyFill="1" applyBorder="1" applyAlignment="1">
      <alignment horizontal="center" wrapText="1"/>
    </xf>
    <xf numFmtId="6" fontId="11" fillId="9" borderId="10" xfId="0" applyNumberFormat="1" applyFont="1" applyFill="1" applyBorder="1" applyAlignment="1">
      <alignment horizontal="center" wrapText="1"/>
    </xf>
    <xf numFmtId="0" fontId="6" fillId="9" borderId="11" xfId="0" applyFont="1" applyFill="1" applyBorder="1" applyAlignment="1">
      <alignment horizontal="center" wrapText="1"/>
    </xf>
    <xf numFmtId="0" fontId="6" fillId="9" borderId="8" xfId="0" applyFont="1" applyFill="1" applyBorder="1" applyAlignment="1">
      <alignment horizontal="center" wrapText="1"/>
    </xf>
    <xf numFmtId="0" fontId="6" fillId="9" borderId="9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2" xfId="3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12" fillId="0" borderId="0" xfId="3" applyFont="1" applyAlignment="1">
      <alignment horizontal="center" wrapText="1"/>
    </xf>
    <xf numFmtId="0" fontId="8" fillId="0" borderId="0" xfId="3" applyFont="1" applyAlignment="1">
      <alignment horizontal="center" wrapText="1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7" fillId="0" borderId="0" xfId="3" applyNumberFormat="1" applyAlignment="1">
      <alignment horizontal="center" wrapText="1"/>
    </xf>
    <xf numFmtId="166" fontId="5" fillId="0" borderId="0" xfId="2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3" applyAlignment="1">
      <alignment horizontal="center"/>
    </xf>
    <xf numFmtId="9" fontId="0" fillId="0" borderId="0" xfId="1" applyFont="1" applyAlignment="1">
      <alignment horizontal="center"/>
    </xf>
    <xf numFmtId="0" fontId="3" fillId="9" borderId="0" xfId="0" applyFont="1" applyFill="1" applyAlignment="1">
      <alignment horizontal="center"/>
    </xf>
    <xf numFmtId="9" fontId="0" fillId="0" borderId="5" xfId="1" applyFont="1" applyFill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" fontId="12" fillId="0" borderId="0" xfId="5" applyNumberFormat="1" applyFont="1" applyAlignment="1">
      <alignment horizontal="center" wrapText="1"/>
    </xf>
    <xf numFmtId="0" fontId="12" fillId="0" borderId="0" xfId="5" applyFont="1" applyAlignment="1">
      <alignment horizontal="center" wrapText="1"/>
    </xf>
    <xf numFmtId="2" fontId="0" fillId="0" borderId="12" xfId="0" applyNumberFormat="1" applyBorder="1" applyAlignment="1">
      <alignment horizontal="center"/>
    </xf>
    <xf numFmtId="14" fontId="12" fillId="0" borderId="12" xfId="3" applyNumberFormat="1" applyFont="1" applyBorder="1" applyAlignment="1">
      <alignment horizontal="center" wrapText="1"/>
    </xf>
    <xf numFmtId="14" fontId="12" fillId="0" borderId="0" xfId="3" applyNumberFormat="1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9" fontId="13" fillId="0" borderId="0" xfId="1" applyFont="1" applyAlignment="1">
      <alignment horizontal="center"/>
    </xf>
    <xf numFmtId="14" fontId="13" fillId="0" borderId="0" xfId="0" applyNumberFormat="1" applyFont="1" applyAlignment="1">
      <alignment horizontal="center"/>
    </xf>
    <xf numFmtId="1" fontId="8" fillId="0" borderId="0" xfId="5" applyNumberFormat="1" applyFont="1" applyAlignment="1">
      <alignment horizontal="center" wrapText="1"/>
    </xf>
    <xf numFmtId="0" fontId="8" fillId="0" borderId="0" xfId="5" applyFont="1" applyAlignment="1">
      <alignment horizontal="center" wrapText="1"/>
    </xf>
    <xf numFmtId="2" fontId="13" fillId="0" borderId="12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0" fillId="0" borderId="0" xfId="0" applyNumberFormat="1"/>
    <xf numFmtId="0" fontId="0" fillId="8" borderId="1" xfId="0" applyFill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3" fillId="0" borderId="14" xfId="0" applyFont="1" applyFill="1" applyBorder="1" applyAlignment="1">
      <alignment horizontal="left"/>
    </xf>
    <xf numFmtId="0" fontId="3" fillId="0" borderId="14" xfId="0" applyNumberFormat="1" applyFont="1" applyFill="1" applyBorder="1"/>
  </cellXfs>
  <cellStyles count="6">
    <cellStyle name="Comma" xfId="2" builtinId="3"/>
    <cellStyle name="Normal" xfId="0" builtinId="0"/>
    <cellStyle name="Normal_Sheet1" xfId="3" xr:uid="{3D21354C-8D19-41AD-8D57-36747ABD8F17}"/>
    <cellStyle name="Normal_Sheet12" xfId="4" xr:uid="{04FF962C-E89C-4B97-BA6D-02D8CA4196DE}"/>
    <cellStyle name="Normal_Sheet3" xfId="5" xr:uid="{7AB2FDDF-61C4-4620-9576-2C1B33C08EBF}"/>
    <cellStyle name="Percent" xfId="1" builtinId="5"/>
  </cellStyles>
  <dxfs count="70">
    <dxf>
      <alignment wrapText="1"/>
    </dxf>
    <dxf>
      <alignment wrapText="1"/>
    </dxf>
    <dxf>
      <alignment horizontal="left"/>
    </dxf>
    <dxf>
      <alignment horizontal="left"/>
    </dxf>
    <dxf>
      <alignment horizontal="center"/>
    </dxf>
    <dxf>
      <alignment wrapText="1"/>
    </dxf>
    <dxf>
      <alignment wrapText="1"/>
    </dxf>
    <dxf>
      <alignment horizontal="left"/>
    </dxf>
    <dxf>
      <alignment horizontal="left"/>
    </dxf>
    <dxf>
      <alignment horizontal="center"/>
    </dxf>
    <dxf>
      <alignment wrapText="1"/>
    </dxf>
    <dxf>
      <alignment wrapText="1"/>
    </dxf>
    <dxf>
      <alignment horizontal="left"/>
    </dxf>
    <dxf>
      <alignment horizontal="left"/>
    </dxf>
    <dxf>
      <alignment horizontal="center"/>
    </dxf>
    <dxf>
      <alignment wrapText="1"/>
    </dxf>
    <dxf>
      <alignment wrapText="1"/>
    </dxf>
    <dxf>
      <alignment horizontal="left"/>
    </dxf>
    <dxf>
      <alignment horizontal="left"/>
    </dxf>
    <dxf>
      <alignment horizontal="center"/>
    </dxf>
    <dxf>
      <alignment wrapText="1"/>
    </dxf>
    <dxf>
      <alignment wrapText="1"/>
    </dxf>
    <dxf>
      <alignment horizontal="left"/>
    </dxf>
    <dxf>
      <alignment horizontal="left"/>
    </dxf>
    <dxf>
      <alignment horizont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3" formatCode="0%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left" vertical="bottom" textRotation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indent="0" justifyLastLine="0" shrinkToFit="0" readingOrder="0"/>
    </dxf>
    <dxf>
      <numFmt numFmtId="0" formatCode="General"/>
      <alignment horizontal="left" vertical="bottom" textRotation="0" indent="0" justifyLastLine="0" shrinkToFit="0" readingOrder="0"/>
    </dxf>
    <dxf>
      <numFmt numFmtId="0" formatCode="General"/>
      <alignment horizontal="left" vertical="bottom" textRotation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mm/dd/yyyy;@"/>
    </dxf>
    <dxf>
      <alignment horizontal="center"/>
    </dxf>
    <dxf>
      <alignment horizontal="left"/>
    </dxf>
    <dxf>
      <alignment horizontal="left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99060</xdr:rowOff>
    </xdr:from>
    <xdr:to>
      <xdr:col>4</xdr:col>
      <xdr:colOff>571752</xdr:colOff>
      <xdr:row>9</xdr:row>
      <xdr:rowOff>38301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8E26F4-CA8E-0C5B-27CF-B41D17E13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99060"/>
          <a:ext cx="2903472" cy="2316681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</xdr:colOff>
      <xdr:row>0</xdr:row>
      <xdr:rowOff>121920</xdr:rowOff>
    </xdr:from>
    <xdr:to>
      <xdr:col>11</xdr:col>
      <xdr:colOff>228886</xdr:colOff>
      <xdr:row>10</xdr:row>
      <xdr:rowOff>2185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ED6C0B5-9F25-8FF2-1303-86809D172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2840" y="121920"/>
          <a:ext cx="3261646" cy="244058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137160</xdr:rowOff>
    </xdr:from>
    <xdr:to>
      <xdr:col>6</xdr:col>
      <xdr:colOff>121921</xdr:colOff>
      <xdr:row>33</xdr:row>
      <xdr:rowOff>160207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93A06D6-C218-B73C-63DE-FAA056A6A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4709160"/>
          <a:ext cx="3779520" cy="148608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34</xdr:row>
      <xdr:rowOff>45720</xdr:rowOff>
    </xdr:from>
    <xdr:to>
      <xdr:col>6</xdr:col>
      <xdr:colOff>185621</xdr:colOff>
      <xdr:row>43</xdr:row>
      <xdr:rowOff>45720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815B97-22C9-36BB-638A-40A45CAF1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6263640"/>
          <a:ext cx="3767021" cy="1645920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220980</xdr:colOff>
      <xdr:row>14</xdr:row>
      <xdr:rowOff>0</xdr:rowOff>
    </xdr:from>
    <xdr:to>
      <xdr:col>4</xdr:col>
      <xdr:colOff>312586</xdr:colOff>
      <xdr:row>18</xdr:row>
      <xdr:rowOff>167718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7578DC-81AB-358C-6B91-879819C4A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580" y="2560320"/>
          <a:ext cx="1920406" cy="899238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548640</xdr:colOff>
      <xdr:row>19</xdr:row>
      <xdr:rowOff>144780</xdr:rowOff>
    </xdr:from>
    <xdr:to>
      <xdr:col>5</xdr:col>
      <xdr:colOff>217</xdr:colOff>
      <xdr:row>22</xdr:row>
      <xdr:rowOff>487757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63ECF23-E448-7C4E-1286-2C09F1EDE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8640" y="3619500"/>
          <a:ext cx="2499577" cy="891617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14</xdr:row>
      <xdr:rowOff>83820</xdr:rowOff>
    </xdr:from>
    <xdr:to>
      <xdr:col>10</xdr:col>
      <xdr:colOff>480273</xdr:colOff>
      <xdr:row>32</xdr:row>
      <xdr:rowOff>46034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BB2B41B-BB77-E2A5-EFBD-BB5BCDAF9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14800" y="2644140"/>
          <a:ext cx="2461473" cy="361981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10</xdr:col>
      <xdr:colOff>350709</xdr:colOff>
      <xdr:row>76</xdr:row>
      <xdr:rowOff>214028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2EF40A3-FDA4-C8F7-52A3-E0BAC9AE3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6400800"/>
          <a:ext cx="2179509" cy="77121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ista Halliday" refreshedDate="45511.370103356479" createdVersion="8" refreshedVersion="8" minRefreshableVersion="3" recordCount="191" xr:uid="{7FD85BD3-6E63-4662-BC7E-2BA373FCC60A}">
  <cacheSource type="worksheet">
    <worksheetSource name="Sales"/>
  </cacheSource>
  <cacheFields count="109">
    <cacheField name="Year" numFmtId="0">
      <sharedItems containsSemiMixedTypes="0" containsString="0" containsNumber="1" containsInteger="1" minValue="2025" maxValue="2025"/>
    </cacheField>
    <cacheField name="Parcel" numFmtId="0">
      <sharedItems containsSemiMixedTypes="0" containsString="0" containsNumber="1" containsInteger="1" minValue="17132413431" maxValue="18131923437"/>
    </cacheField>
    <cacheField name="LnAcres" numFmtId="0">
      <sharedItems containsSemiMixedTypes="0" containsString="0" containsNumber="1" minValue="-4.6051701859880909" maxValue="1.8405496333974869"/>
    </cacheField>
    <cacheField name="Acres" numFmtId="0">
      <sharedItems containsSemiMixedTypes="0" containsString="0" containsNumber="1" minValue="0.01" maxValue="6.3"/>
    </cacheField>
    <cacheField name="Sqft" numFmtId="0">
      <sharedItems containsSemiMixedTypes="0" containsString="0" containsNumber="1" containsInteger="1" minValue="0" maxValue="120874"/>
    </cacheField>
    <cacheField name="Cycle" numFmtId="0">
      <sharedItems containsSemiMixedTypes="0" containsString="0" containsNumber="1" containsInteger="1" minValue="1" maxValue="5"/>
    </cacheField>
    <cacheField name="Type" numFmtId="0">
      <sharedItems/>
    </cacheField>
    <cacheField name="Nbhd" numFmtId="0">
      <sharedItems containsMixedTypes="1" containsNumber="1" containsInteger="1" minValue="3041" maxValue="3042"/>
    </cacheField>
    <cacheField name="TNbhd" numFmtId="0">
      <sharedItems count="1">
        <s v="YN1"/>
      </sharedItems>
    </cacheField>
    <cacheField name="Zone" numFmtId="0">
      <sharedItems/>
    </cacheField>
    <cacheField name="Use" numFmtId="0">
      <sharedItems containsSemiMixedTypes="0" containsString="0" containsNumber="1" containsInteger="1" minValue="11" maxValue="83"/>
    </cacheField>
    <cacheField name="Subtype" numFmtId="0">
      <sharedItems containsString="0" containsBlank="1" containsNumber="1" containsInteger="1" minValue="130" maxValue="400"/>
    </cacheField>
    <cacheField name="Style" numFmtId="0">
      <sharedItems/>
    </cacheField>
    <cacheField name="Qlty" numFmtId="0">
      <sharedItems/>
    </cacheField>
    <cacheField name="Cnd" numFmtId="0">
      <sharedItems/>
    </cacheField>
    <cacheField name="YrBlt" numFmtId="0">
      <sharedItems containsSemiMixedTypes="0" containsString="0" containsNumber="1" containsInteger="1" minValue="1920" maxValue="2023"/>
    </cacheField>
    <cacheField name="EffYr" numFmtId="0">
      <sharedItems containsSemiMixedTypes="0" containsString="0" containsNumber="1" containsInteger="1" minValue="1966" maxValue="2023"/>
    </cacheField>
    <cacheField name="Decade" numFmtId="0">
      <sharedItems containsSemiMixedTypes="0" containsString="0" containsNumber="1" containsInteger="1" minValue="0" maxValue="110" count="12">
        <n v="10"/>
        <n v="20"/>
        <n v="30"/>
        <n v="40"/>
        <n v="50"/>
        <n v="60"/>
        <n v="70"/>
        <n v="80"/>
        <n v="90"/>
        <n v="100"/>
        <n v="110"/>
        <n v="0" u="1"/>
      </sharedItems>
    </cacheField>
    <cacheField name="Age" numFmtId="0">
      <sharedItems containsSemiMixedTypes="0" containsString="0" containsNumber="1" containsInteger="1" minValue="1" maxValue="104"/>
    </cacheField>
    <cacheField name="EffAge" numFmtId="0">
      <sharedItems containsSemiMixedTypes="0" containsString="0" containsNumber="1" containsInteger="1" minValue="1" maxValue="58"/>
    </cacheField>
    <cacheField name="#Stories" numFmtId="0">
      <sharedItems containsSemiMixedTypes="0" containsString="0" containsNumber="1" containsInteger="1" minValue="1" maxValue="2"/>
    </cacheField>
    <cacheField name="MainFn" numFmtId="0">
      <sharedItems containsSemiMixedTypes="0" containsString="0" containsNumber="1" containsInteger="1" minValue="876" maxValue="5309"/>
    </cacheField>
    <cacheField name="UpprFn" numFmtId="0">
      <sharedItems containsSemiMixedTypes="0" containsString="0" containsNumber="1" containsInteger="1" minValue="0" maxValue="3755"/>
    </cacheField>
    <cacheField name="AddFn" numFmtId="0">
      <sharedItems containsSemiMixedTypes="0" containsString="0" containsNumber="1" containsInteger="1" minValue="0" maxValue="1260"/>
    </cacheField>
    <cacheField name="Bsmt" numFmtId="0">
      <sharedItems containsSemiMixedTypes="0" containsString="0" containsNumber="1" containsInteger="1" minValue="0" maxValue="3854"/>
    </cacheField>
    <cacheField name="FnBsmt" numFmtId="0">
      <sharedItems containsSemiMixedTypes="0" containsString="0" containsNumber="1" containsInteger="1" minValue="0" maxValue="3854"/>
    </cacheField>
    <cacheField name="UnfinBsmt" numFmtId="0">
      <sharedItems containsSemiMixedTypes="0" containsString="0" containsNumber="1" containsInteger="1" minValue="0" maxValue="2404"/>
    </cacheField>
    <cacheField name="Living Area" numFmtId="0">
      <sharedItems containsSemiMixedTypes="0" containsString="0" containsNumber="1" containsInteger="1" minValue="1008" maxValue="11211"/>
    </cacheField>
    <cacheField name="LivArea Range" numFmtId="0">
      <sharedItems containsSemiMixedTypes="0" containsString="0" containsNumber="1" containsInteger="1" minValue="1500" maxValue="11500"/>
    </cacheField>
    <cacheField name="GarSpace" numFmtId="0">
      <sharedItems containsSemiMixedTypes="0" containsString="0" containsNumber="1" containsInteger="1" minValue="0" maxValue="4"/>
    </cacheField>
    <cacheField name="MsnryTrim" numFmtId="0">
      <sharedItems containsBlank="1"/>
    </cacheField>
    <cacheField name="Heat" numFmtId="0">
      <sharedItems/>
    </cacheField>
    <cacheField name="Fuel" numFmtId="0">
      <sharedItems/>
    </cacheField>
    <cacheField name="AC" numFmtId="0">
      <sharedItems containsBlank="1"/>
    </cacheField>
    <cacheField name="WdStove" numFmtId="0">
      <sharedItems containsSemiMixedTypes="0" containsString="0" containsNumber="1" containsInteger="1" minValue="0" maxValue="1"/>
    </cacheField>
    <cacheField name="MsnryFP" numFmtId="0">
      <sharedItems containsSemiMixedTypes="0" containsString="0" containsNumber="1" containsInteger="1" minValue="0" maxValue="6"/>
    </cacheField>
    <cacheField name="PrefabFP" numFmtId="0">
      <sharedItems containsSemiMixedTypes="0" containsString="0" containsNumber="1" containsInteger="1" minValue="0" maxValue="4"/>
    </cacheField>
    <cacheField name="3/4Bath" numFmtId="0">
      <sharedItems containsSemiMixedTypes="0" containsString="0" containsNumber="1" containsInteger="1" minValue="0" maxValue="4"/>
    </cacheField>
    <cacheField name="1/2Bath" numFmtId="0">
      <sharedItems containsSemiMixedTypes="0" containsString="0" containsNumber="1" containsInteger="1" minValue="0" maxValue="3"/>
    </cacheField>
    <cacheField name="Fixtures" numFmtId="0">
      <sharedItems containsSemiMixedTypes="0" containsString="0" containsNumber="1" containsInteger="1" minValue="5" maxValue="27"/>
    </cacheField>
    <cacheField name="AttGar" numFmtId="0">
      <sharedItems containsSemiMixedTypes="0" containsString="0" containsNumber="1" containsInteger="1" minValue="0" maxValue="2125"/>
    </cacheField>
    <cacheField name="BltinGar" numFmtId="0">
      <sharedItems containsSemiMixedTypes="0" containsString="0" containsNumber="1" containsInteger="1" minValue="0" maxValue="1102"/>
    </cacheField>
    <cacheField name="GarageArea" numFmtId="0">
      <sharedItems containsSemiMixedTypes="0" containsString="0" containsNumber="1" containsInteger="1" minValue="0" maxValue="2125"/>
    </cacheField>
    <cacheField name="Carport" numFmtId="0">
      <sharedItems containsSemiMixedTypes="0" containsString="0" containsNumber="1" containsInteger="1" minValue="0" maxValue="646"/>
    </cacheField>
    <cacheField name="WdDeck" numFmtId="0">
      <sharedItems containsSemiMixedTypes="0" containsString="0" containsNumber="1" containsInteger="1" minValue="0" maxValue="2300"/>
    </cacheField>
    <cacheField name="Patio" numFmtId="0">
      <sharedItems containsSemiMixedTypes="0" containsString="0" containsNumber="1" containsInteger="1" minValue="0" maxValue="3142"/>
    </cacheField>
    <cacheField name="CoverSf" numFmtId="0">
      <sharedItems containsSemiMixedTypes="0" containsString="0" containsNumber="1" containsInteger="1" minValue="0" maxValue="2300"/>
    </cacheField>
    <cacheField name="%Comp" numFmtId="0">
      <sharedItems containsSemiMixedTypes="0" containsString="0" containsNumber="1" containsInteger="1" minValue="20" maxValue="100"/>
    </cacheField>
    <cacheField name="Ecn" numFmtId="0">
      <sharedItems containsSemiMixedTypes="0" containsString="0" containsNumber="1" containsInteger="1" minValue="100" maxValue="100"/>
    </cacheField>
    <cacheField name="Rcn" numFmtId="0">
      <sharedItems containsSemiMixedTypes="0" containsString="0" containsNumber="1" containsInteger="1" minValue="179949" maxValue="3307284"/>
    </cacheField>
    <cacheField name="Rcnld" numFmtId="0">
      <sharedItems containsSemiMixedTypes="0" containsString="0" containsNumber="1" containsInteger="1" minValue="125964" maxValue="3141920"/>
    </cacheField>
    <cacheField name="Days Prior" numFmtId="0">
      <sharedItems containsSemiMixedTypes="0" containsString="0" containsNumber="1" containsInteger="1" minValue="24" maxValue="1088"/>
    </cacheField>
    <cacheField name="DP1" numFmtId="0">
      <sharedItems containsSemiMixedTypes="0" containsString="0" containsNumber="1" containsInteger="1" minValue="24" maxValue="365"/>
    </cacheField>
    <cacheField name="DP2" numFmtId="0">
      <sharedItems containsSemiMixedTypes="0" containsString="0" containsNumber="1" containsInteger="1" minValue="0" maxValue="365"/>
    </cacheField>
    <cacheField name="DP3" numFmtId="0">
      <sharedItems containsSemiMixedTypes="0" containsString="0" containsNumber="1" containsInteger="1" minValue="0" maxValue="358"/>
    </cacheField>
    <cacheField name="Date" numFmtId="164">
      <sharedItems containsSemiMixedTypes="0" containsNonDate="0" containsDate="1" containsString="0" minDate="2021-01-08T00:00:00" maxDate="2023-12-09T00:00:00"/>
    </cacheField>
    <cacheField name="Excise" numFmtId="0">
      <sharedItems containsMixedTypes="1" containsNumber="1" containsInteger="1" minValue="458333" maxValue="458333"/>
    </cacheField>
    <cacheField name="Price" numFmtId="0">
      <sharedItems containsSemiMixedTypes="0" containsString="0" containsNumber="1" containsInteger="1" minValue="205000" maxValue="2000000"/>
    </cacheField>
    <cacheField name="SP-Det" numFmtId="0">
      <sharedItems containsSemiMixedTypes="0" containsString="0" containsNumber="1" containsInteger="1" minValue="192605" maxValue="1936236"/>
    </cacheField>
    <cacheField name="SaleType" numFmtId="0">
      <sharedItems/>
    </cacheField>
    <cacheField name="Verify" numFmtId="0">
      <sharedItems containsSemiMixedTypes="0" containsString="0" containsNumber="1" containsInteger="1" minValue="30" maxValue="30"/>
    </cacheField>
    <cacheField name="Mult" numFmtId="0">
      <sharedItems/>
    </cacheField>
    <cacheField name="Bench" numFmtId="0">
      <sharedItems/>
    </cacheField>
    <cacheField name="24Final" numFmtId="0">
      <sharedItems containsSemiMixedTypes="0" containsString="0" containsNumber="1" containsInteger="1" minValue="146100" maxValue="1921400"/>
    </cacheField>
    <cacheField name="24Lnd" numFmtId="0">
      <sharedItems containsSemiMixedTypes="0" containsString="0" containsNumber="1" containsInteger="1" minValue="29700" maxValue="233500"/>
    </cacheField>
    <cacheField name="24Bldg" numFmtId="0">
      <sharedItems containsSemiMixedTypes="0" containsString="0" containsNumber="1" containsInteger="1" minValue="83000" maxValue="1719800"/>
    </cacheField>
    <cacheField name="25Det" numFmtId="0">
      <sharedItems containsSemiMixedTypes="0" containsString="0" containsNumber="1" containsInteger="1" minValue="0" maxValue="191307"/>
    </cacheField>
    <cacheField name="Ratio" numFmtId="0">
      <sharedItems containsSemiMixedTypes="0" containsString="0" containsNumber="1" minValue="0.27355452366686639" maxValue="1.7469444444444444"/>
    </cacheField>
    <cacheField name="Mdl Formula DP" numFmtId="0">
      <sharedItems containsSemiMixedTypes="0" containsString="0" containsNumber="1" minValue="165417.33973182217" maxValue="1899563.1034595247"/>
    </cacheField>
    <cacheField name="Mdl Formula Total" numFmtId="0">
      <sharedItems containsSemiMixedTypes="0" containsString="0" containsNumber="1" minValue="267108.13919429248" maxValue="1908894.6592601405"/>
    </cacheField>
    <cacheField name="Diff" numFmtId="9">
      <sharedItems containsSemiMixedTypes="0" containsString="0" containsNumber="1" minValue="-0.26413525199811982" maxValue="2.8203129487233225"/>
    </cacheField>
    <cacheField name="Days Prior Total" numFmtId="0">
      <sharedItems containsSemiMixedTypes="0" containsString="0" containsNumber="1" minValue="-133475.15870999999" maxValue="-3795.8879999999999"/>
    </cacheField>
    <cacheField name="Mdl Res Intercept" numFmtId="0">
      <sharedItems containsSemiMixedTypes="0" containsString="0" containsNumber="1" minValue="87214.824999999997" maxValue="87214.824999999997"/>
    </cacheField>
    <cacheField name="Mdl Land Intercept" numFmtId="0">
      <sharedItems containsSemiMixedTypes="0" containsString="0" containsNumber="1" minValue="87214.824999999997" maxValue="87214.824999999997"/>
    </cacheField>
    <cacheField name="Mdl LnAcres" numFmtId="0">
      <sharedItems containsSemiMixedTypes="0" containsString="0" containsNumber="1" minValue="-115257.49021870131" maxValue="46064.992780028762"/>
    </cacheField>
    <cacheField name="Mdl Qlty" numFmtId="0">
      <sharedItems containsSemiMixedTypes="0" containsString="0" containsNumber="1" minValue="-14329.694740000001" maxValue="519241.74659"/>
    </cacheField>
    <cacheField name="Mdl Condition" numFmtId="0">
      <sharedItems containsSemiMixedTypes="0" containsString="0" containsNumber="1" minValue="0" maxValue="133581.64413"/>
    </cacheField>
    <cacheField name="Mdl Age" numFmtId="0">
      <sharedItems containsSemiMixedTypes="0" containsString="0" containsNumber="1" minValue="184.51242999999999" maxValue="19189.292719999998"/>
    </cacheField>
    <cacheField name="Mdl MainFn" numFmtId="0">
      <sharedItems containsSemiMixedTypes="0" containsString="0" containsNumber="1" minValue="60517.110084000007" maxValue="366764.08383100003"/>
    </cacheField>
    <cacheField name="Mdl UpprFn" numFmtId="0">
      <sharedItems containsSemiMixedTypes="0" containsString="0" containsNumber="1" minValue="0" maxValue="229746.57712500001"/>
    </cacheField>
    <cacheField name="Mdl AddFn" numFmtId="0">
      <sharedItems containsSemiMixedTypes="0" containsString="0" containsNumber="1" minValue="0" maxValue="59198.074740000004"/>
    </cacheField>
    <cacheField name="Mdl Bsmt" numFmtId="0">
      <sharedItems containsSemiMixedTypes="0" containsString="0" containsNumber="1" minValue="0" maxValue="110257.76793199999"/>
    </cacheField>
    <cacheField name="Mdl Fixtures" numFmtId="0">
      <sharedItems containsSemiMixedTypes="0" containsString="0" containsNumber="1" minValue="50775.5" maxValue="274187.7"/>
    </cacheField>
    <cacheField name="Mdl MsnryFP" numFmtId="0">
      <sharedItems containsSemiMixedTypes="0" containsString="0" containsNumber="1" minValue="0" maxValue="151641.73800000001"/>
    </cacheField>
    <cacheField name="Mdl PrefabFP " numFmtId="0">
      <sharedItems containsSemiMixedTypes="0" containsString="0" containsNumber="1" minValue="0" maxValue="168364.08799999999"/>
    </cacheField>
    <cacheField name="Mdl GarageArea" numFmtId="0">
      <sharedItems containsSemiMixedTypes="0" containsString="0" containsNumber="1" minValue="0" maxValue="107691.806125"/>
    </cacheField>
    <cacheField name="Match Mdl Value" numFmtId="0">
      <sharedItems containsSemiMixedTypes="0" containsString="0" containsNumber="1" minValue="165417.34586579166" maxValue="1899563.1148418658"/>
    </cacheField>
    <cacheField name="Unadj Det Value" numFmtId="0">
      <sharedItems containsSemiMixedTypes="0" containsString="0" containsNumber="1" containsInteger="1" minValue="0" maxValue="191300"/>
    </cacheField>
    <cacheField name="Unadj Res Value" numFmtId="0">
      <sharedItems containsSemiMixedTypes="0" containsString="0" containsNumber="1" containsInteger="1" minValue="166000" maxValue="1778900"/>
    </cacheField>
    <cacheField name="Unadj Land Value" numFmtId="0">
      <sharedItems containsSemiMixedTypes="0" containsString="0" containsNumber="1" containsInteger="1" minValue="-28000" maxValue="133300"/>
    </cacheField>
    <cacheField name="Unadj Total Value" numFmtId="0">
      <sharedItems containsSemiMixedTypes="0" containsString="0" containsNumber="1" containsInteger="1" minValue="177900" maxValue="1963400"/>
    </cacheField>
    <cacheField name="Unadj Ratio " numFmtId="9">
      <sharedItems containsSemiMixedTypes="0" containsString="0" containsNumber="1" minValue="0.57685800604229609" maxValue="1.5069999999999999"/>
    </cacheField>
    <cacheField name="Unadj Diff" numFmtId="9">
      <sharedItems containsSemiMixedTypes="0" containsString="0" containsNumber="1" minValue="-0.34691629955947134" maxValue="2.7152635181382614"/>
    </cacheField>
    <cacheField name="Nbhd Adj" numFmtId="0">
      <sharedItems containsSemiMixedTypes="0" containsString="0" containsNumber="1" minValue="0.97570000000000001" maxValue="0.97570000000000001"/>
    </cacheField>
    <cacheField name="Quality Adj" numFmtId="0">
      <sharedItems containsSemiMixedTypes="0" containsString="0" containsNumber="1" minValue="0.85299999999999998" maxValue="1.0051000000000001"/>
    </cacheField>
    <cacheField name="Condition Adj" numFmtId="0">
      <sharedItems containsSemiMixedTypes="0" containsString="0" containsNumber="1" minValue="0.9677" maxValue="0.98370000000000002"/>
    </cacheField>
    <cacheField name="Living Area Adj" numFmtId="0">
      <sharedItems containsSemiMixedTypes="0" containsString="0" containsNumber="1" minValue="0.90720000000000001" maxValue="1.0512999999999999"/>
    </cacheField>
    <cacheField name="Decade Adj" numFmtId="0">
      <sharedItems containsSemiMixedTypes="0" containsString="0" containsNumber="1" minValue="0.82369999999999999" maxValue="1.0414000000000001"/>
    </cacheField>
    <cacheField name="Det/Nbhd Adj" numFmtId="0">
      <sharedItems containsSemiMixedTypes="0" containsString="0" containsNumber="1" minValue="0.92691499999999993" maxValue="0.92691499999999993"/>
    </cacheField>
    <cacheField name="Res Adj " numFmtId="0">
      <sharedItems containsSemiMixedTypes="0" containsString="0" containsNumber="1" minValue="0.58806717429015121" maxValue="0.95683303645464646"/>
    </cacheField>
    <cacheField name="Adjusted Res" numFmtId="0">
      <sharedItems containsSemiMixedTypes="0" containsString="0" containsNumber="1" containsInteger="1" minValue="258100" maxValue="1779000"/>
    </cacheField>
    <cacheField name="Adj Det " numFmtId="0">
      <sharedItems containsSemiMixedTypes="0" containsString="0" containsNumber="1" containsInteger="1" minValue="0" maxValue="177300"/>
    </cacheField>
    <cacheField name="Adjusted Impr Total" numFmtId="0">
      <sharedItems containsSemiMixedTypes="0" containsString="0" containsNumber="1" containsInteger="1" minValue="258100" maxValue="1838100"/>
    </cacheField>
    <cacheField name="Adjusted Land Total" numFmtId="0">
      <sharedItems containsSemiMixedTypes="0" containsString="0" containsNumber="1" containsInteger="1" minValue="-26000" maxValue="123500"/>
    </cacheField>
    <cacheField name="Adjusted Total" numFmtId="0">
      <sharedItems containsSemiMixedTypes="0" containsString="0" containsNumber="1" containsInteger="1" minValue="270400" maxValue="1950000"/>
    </cacheField>
    <cacheField name="Adjusted Imp Diff" numFmtId="0">
      <sharedItems containsSemiMixedTypes="0" containsString="0" containsNumber="1" minValue="-0.17728119180633148" maxValue="5.6795180722891567"/>
    </cacheField>
    <cacheField name="Adjusted Lnd Diff" numFmtId="0">
      <sharedItems containsSemiMixedTypes="0" containsString="0" containsNumber="1" minValue="-1.5777777777777777" maxValue="-7.7441077441077436E-2"/>
    </cacheField>
    <cacheField name="Adjusted Total Difference" numFmtId="0">
      <sharedItems containsSemiMixedTypes="0" containsString="0" containsNumber="1" minValue="-0.23041908648563805" maxValue="2.7268993839835729"/>
    </cacheField>
    <cacheField name="Final Ratio" numFmtId="0">
      <sharedItems containsSemiMixedTypes="0" containsString="0" containsNumber="1" minValue="0.56742203582477346" maxValue="1.46532950937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n v="2025"/>
    <n v="18131923425"/>
    <n v="-3.912023005428146"/>
    <n v="0.02"/>
    <n v="8000"/>
    <n v="1"/>
    <s v="RES"/>
    <s v="YN1"/>
    <x v="0"/>
    <s v="R1"/>
    <n v="11"/>
    <n v="259"/>
    <s v="CO"/>
    <s v="A"/>
    <s v="EX"/>
    <n v="2023"/>
    <n v="2023"/>
    <x v="0"/>
    <n v="1"/>
    <n v="1"/>
    <n v="2"/>
    <n v="1864"/>
    <n v="0"/>
    <n v="0"/>
    <n v="0"/>
    <n v="0"/>
    <n v="0"/>
    <n v="1864"/>
    <n v="2000"/>
    <n v="3"/>
    <s v="S"/>
    <s v="HP"/>
    <s v="E"/>
    <m/>
    <n v="0"/>
    <n v="0"/>
    <n v="1"/>
    <n v="0"/>
    <n v="1"/>
    <n v="12"/>
    <n v="600"/>
    <n v="0"/>
    <n v="600"/>
    <n v="0"/>
    <n v="0"/>
    <n v="0"/>
    <n v="0"/>
    <n v="100"/>
    <n v="100"/>
    <n v="480295"/>
    <n v="480295"/>
    <n v="116"/>
    <n v="116"/>
    <n v="0"/>
    <n v="0"/>
    <d v="2023-09-07T00:00:00"/>
    <s v="E041484"/>
    <n v="494900"/>
    <n v="494900"/>
    <s v="SWD"/>
    <n v="30"/>
    <s v="N"/>
    <s v="Y"/>
    <n v="519400"/>
    <n v="63100"/>
    <n v="456300"/>
    <n v="0"/>
    <n v="1.0495049504950495"/>
    <n v="515070.38758856879"/>
    <n v="533417.17526435573"/>
    <n v="2.6987245406922846E-2"/>
    <n v="-18346.792000000001"/>
    <n v="87214.824999999997"/>
    <n v="87214.824999999997"/>
    <n v="-97909.509328312808"/>
    <n v="0"/>
    <n v="133581.64413"/>
    <n v="184.51242999999999"/>
    <n v="128771.56757600002"/>
    <n v="0"/>
    <n v="0"/>
    <n v="0"/>
    <n v="121861.20000000001"/>
    <n v="0"/>
    <n v="42091.021999999997"/>
    <n v="30407.0982"/>
    <n v="515070.39300768723"/>
    <n v="0"/>
    <n v="525800"/>
    <n v="-10700"/>
    <n v="515100"/>
    <n v="1.0408163265306123"/>
    <n v="-8.278783211397767E-3"/>
    <n v="0.97570000000000001"/>
    <n v="1.0046999999999999"/>
    <n v="0.98370000000000002"/>
    <n v="0.99099999999999999"/>
    <n v="0.99060000000000004"/>
    <n v="0.92691499999999993"/>
    <n v="0.89931318774524849"/>
    <n v="535300"/>
    <n v="0"/>
    <n v="535300"/>
    <n v="-9900"/>
    <n v="525400"/>
    <n v="0.17313171159325005"/>
    <n v="-1.1568938193343898"/>
    <n v="1.1551790527531768E-2"/>
    <n v="1.0245568963426954"/>
  </r>
  <r>
    <n v="2025"/>
    <n v="18131923422"/>
    <n v="-1.7719568419318752"/>
    <n v="0.17"/>
    <n v="7415"/>
    <n v="1"/>
    <s v="RES"/>
    <n v="3042"/>
    <x v="0"/>
    <s v="R1"/>
    <n v="11"/>
    <n v="259"/>
    <s v="CO"/>
    <s v="A+"/>
    <s v="EX"/>
    <n v="2023"/>
    <n v="2023"/>
    <x v="0"/>
    <n v="1"/>
    <n v="1"/>
    <n v="2"/>
    <n v="1380"/>
    <n v="840"/>
    <n v="0"/>
    <n v="0"/>
    <n v="0"/>
    <n v="0"/>
    <n v="2220"/>
    <n v="2500"/>
    <n v="3"/>
    <s v="S"/>
    <s v="FD"/>
    <s v="G"/>
    <m/>
    <n v="0"/>
    <n v="0"/>
    <n v="1"/>
    <n v="0"/>
    <n v="1"/>
    <n v="12"/>
    <n v="660"/>
    <n v="0"/>
    <n v="660"/>
    <n v="0"/>
    <n v="0"/>
    <n v="0"/>
    <n v="0"/>
    <n v="100"/>
    <n v="100"/>
    <n v="356506"/>
    <n v="356506"/>
    <n v="186"/>
    <n v="186"/>
    <n v="0"/>
    <n v="0"/>
    <d v="2023-06-29T00:00:00"/>
    <s v="E040740"/>
    <n v="494500"/>
    <n v="494500"/>
    <s v="SWD"/>
    <n v="30"/>
    <s v="N"/>
    <s v="Y"/>
    <n v="492500"/>
    <n v="59900"/>
    <n v="432600"/>
    <n v="0"/>
    <n v="0.99595551061678467"/>
    <n v="548245.65302801505"/>
    <n v="577663.77809436305"/>
    <n v="0.17292137684134629"/>
    <n v="-29418.132000000001"/>
    <n v="87214.824999999997"/>
    <n v="87214.824999999997"/>
    <n v="-44348.26295851732"/>
    <n v="30313.66692"/>
    <n v="133581.64413"/>
    <n v="184.51242999999999"/>
    <n v="95335.173420000006"/>
    <n v="51394.707000000002"/>
    <n v="0"/>
    <n v="0"/>
    <n v="121861.20000000001"/>
    <n v="0"/>
    <n v="42091.021999999997"/>
    <n v="33447.808019999997"/>
    <n v="608872.98896148265"/>
    <n v="0"/>
    <n v="566000"/>
    <n v="42900"/>
    <n v="608900"/>
    <n v="1.231344792719919"/>
    <n v="0.23634517766497462"/>
    <n v="0.97570000000000001"/>
    <n v="0.85299999999999998"/>
    <n v="0.98370000000000002"/>
    <n v="0.93440000000000001"/>
    <n v="0.99060000000000004"/>
    <n v="0.92691499999999993"/>
    <n v="0.7199175589790282"/>
    <n v="571000"/>
    <n v="0"/>
    <n v="571000"/>
    <n v="39700"/>
    <n v="610700"/>
    <n v="0.31992602866389275"/>
    <n v="-0.337228714524207"/>
    <n v="0.24"/>
    <n v="1.1754941718907987"/>
  </r>
  <r>
    <n v="2025"/>
    <n v="18131923421"/>
    <n v="-3.912023005428146"/>
    <n v="0.02"/>
    <n v="8000"/>
    <n v="1"/>
    <s v="RES"/>
    <s v="YN1"/>
    <x v="0"/>
    <s v="R1"/>
    <n v="11"/>
    <n v="256"/>
    <s v="CO"/>
    <s v="G"/>
    <s v="EX"/>
    <n v="2023"/>
    <n v="2023"/>
    <x v="0"/>
    <n v="1"/>
    <n v="1"/>
    <n v="1"/>
    <n v="2026"/>
    <n v="0"/>
    <n v="0"/>
    <n v="0"/>
    <n v="0"/>
    <n v="0"/>
    <n v="2026"/>
    <n v="2500"/>
    <n v="3"/>
    <m/>
    <s v="HP"/>
    <s v="E"/>
    <m/>
    <n v="0"/>
    <n v="0"/>
    <n v="1"/>
    <n v="0"/>
    <n v="0"/>
    <n v="9"/>
    <n v="560"/>
    <n v="0"/>
    <n v="560"/>
    <n v="0"/>
    <n v="0"/>
    <n v="0"/>
    <n v="0"/>
    <n v="100"/>
    <n v="100"/>
    <n v="391495"/>
    <n v="391495"/>
    <n v="54"/>
    <n v="54"/>
    <n v="0"/>
    <n v="0"/>
    <d v="2023-11-08T00:00:00"/>
    <s v="E042006"/>
    <n v="474630"/>
    <n v="474630"/>
    <s v="SWD"/>
    <n v="30"/>
    <s v="N"/>
    <s v="Y"/>
    <n v="221800"/>
    <n v="63100"/>
    <n v="158700"/>
    <n v="0"/>
    <n v="0.46731137939026191"/>
    <n v="489245.81640861084"/>
    <n v="497786.5623956151"/>
    <n v="1.2443037078251358"/>
    <n v="-8540.7479999999996"/>
    <n v="87214.824999999997"/>
    <n v="87214.824999999997"/>
    <n v="-97909.509328312808"/>
    <n v="-14329.694740000001"/>
    <n v="133581.64413"/>
    <n v="184.51242999999999"/>
    <n v="139963.08793400001"/>
    <n v="0"/>
    <n v="0"/>
    <n v="0"/>
    <n v="91395.900000000009"/>
    <n v="0"/>
    <n v="42091.021999999997"/>
    <n v="28379.958320000002"/>
    <n v="489245.82274568721"/>
    <n v="0"/>
    <n v="499900"/>
    <n v="-10700"/>
    <n v="489200"/>
    <n v="1.0306975960221647"/>
    <n v="1.2055906221821462"/>
    <n v="0.97570000000000001"/>
    <n v="0.98809999999999998"/>
    <n v="0.98370000000000002"/>
    <n v="0.93440000000000001"/>
    <n v="0.99060000000000004"/>
    <n v="0.92691499999999993"/>
    <n v="0.83393967177863759"/>
    <n v="494000"/>
    <n v="0"/>
    <n v="494000"/>
    <n v="-9900"/>
    <n v="484100"/>
    <n v="2.1127914303717708"/>
    <n v="-1.1568938193343898"/>
    <n v="1.1825969341749323"/>
    <n v="1.0019578450582558"/>
  </r>
  <r>
    <n v="2025"/>
    <n v="18131923436"/>
    <n v="-3.912023005428146"/>
    <n v="0.02"/>
    <n v="7900"/>
    <n v="1"/>
    <s v="RES"/>
    <n v="3042"/>
    <x v="0"/>
    <s v="R1"/>
    <n v="11"/>
    <n v="259"/>
    <s v="CO"/>
    <s v="G"/>
    <s v="EX"/>
    <n v="2023"/>
    <n v="2023"/>
    <x v="0"/>
    <n v="1"/>
    <n v="1"/>
    <n v="1"/>
    <n v="2026"/>
    <n v="0"/>
    <n v="0"/>
    <n v="0"/>
    <n v="0"/>
    <n v="0"/>
    <n v="2026"/>
    <n v="2500"/>
    <n v="3"/>
    <s v="S"/>
    <s v="HP"/>
    <s v="E"/>
    <m/>
    <n v="0"/>
    <n v="0"/>
    <n v="1"/>
    <n v="0"/>
    <n v="0"/>
    <n v="11"/>
    <n v="790"/>
    <n v="0"/>
    <n v="790"/>
    <n v="0"/>
    <n v="0"/>
    <n v="0"/>
    <n v="0"/>
    <n v="100"/>
    <n v="100"/>
    <n v="411751"/>
    <n v="411751"/>
    <n v="160"/>
    <n v="160"/>
    <n v="0"/>
    <n v="0"/>
    <d v="2023-07-25T00:00:00"/>
    <s v="E041073"/>
    <n v="529900"/>
    <n v="529900"/>
    <s v="SWD"/>
    <n v="30"/>
    <s v="N"/>
    <s v="Y"/>
    <n v="488000"/>
    <n v="63100"/>
    <n v="424900"/>
    <n v="0"/>
    <n v="0.92092847707114545"/>
    <n v="504446.90168718639"/>
    <n v="529752.81572275457"/>
    <n v="8.5559048612201996E-2"/>
    <n v="-25305.920000000002"/>
    <n v="87214.824999999997"/>
    <n v="87214.824999999997"/>
    <n v="-97909.509328312808"/>
    <n v="-14329.694740000001"/>
    <n v="133581.64413"/>
    <n v="184.51242999999999"/>
    <n v="139963.08793400001"/>
    <n v="0"/>
    <n v="0"/>
    <n v="0"/>
    <n v="111706.1"/>
    <n v="0"/>
    <n v="42091.021999999997"/>
    <n v="40036.012629999997"/>
    <n v="504446.90505568718"/>
    <n v="0"/>
    <n v="515100"/>
    <n v="-10700"/>
    <n v="504400"/>
    <n v="0.95187771277599542"/>
    <n v="3.3606557377049179E-2"/>
    <n v="0.97570000000000001"/>
    <n v="0.98809999999999998"/>
    <n v="0.98370000000000002"/>
    <n v="0.93440000000000001"/>
    <n v="0.99060000000000004"/>
    <n v="0.92691499999999993"/>
    <n v="0.83393967177863759"/>
    <n v="526000"/>
    <n v="0"/>
    <n v="526000"/>
    <n v="-9900"/>
    <n v="516100"/>
    <n v="0.23793833843257237"/>
    <n v="-1.1568938193343898"/>
    <n v="5.7581967213114753E-2"/>
    <n v="0.92620132100396302"/>
  </r>
  <r>
    <n v="2025"/>
    <n v="18131923434"/>
    <n v="-3.912023005428146"/>
    <n v="0.02"/>
    <n v="7900"/>
    <n v="1"/>
    <s v="RES"/>
    <s v="YN1"/>
    <x v="0"/>
    <s v="R1"/>
    <n v="11"/>
    <n v="259"/>
    <s v="CO"/>
    <s v="G"/>
    <s v="EX"/>
    <n v="2023"/>
    <n v="2023"/>
    <x v="0"/>
    <n v="1"/>
    <n v="1"/>
    <n v="1"/>
    <n v="2056"/>
    <n v="0"/>
    <n v="0"/>
    <n v="0"/>
    <n v="0"/>
    <n v="0"/>
    <n v="2056"/>
    <n v="2500"/>
    <n v="3"/>
    <m/>
    <s v="HP"/>
    <s v="E"/>
    <m/>
    <n v="0"/>
    <n v="0"/>
    <n v="1"/>
    <n v="0"/>
    <n v="0"/>
    <n v="9"/>
    <n v="640"/>
    <n v="0"/>
    <n v="640"/>
    <n v="0"/>
    <n v="0"/>
    <n v="0"/>
    <n v="0"/>
    <n v="100"/>
    <n v="100"/>
    <n v="399432"/>
    <n v="399432"/>
    <n v="76"/>
    <n v="76"/>
    <n v="0"/>
    <n v="0"/>
    <d v="2023-10-17T00:00:00"/>
    <s v="E041812"/>
    <n v="468040"/>
    <n v="468040"/>
    <s v="SWD"/>
    <n v="30"/>
    <s v="N"/>
    <s v="Y"/>
    <n v="165800"/>
    <n v="63100"/>
    <n v="102700"/>
    <n v="0"/>
    <n v="0.35424322707460904"/>
    <n v="491893.0367400868"/>
    <n v="503913.34590698167"/>
    <n v="2.0392843540831223"/>
    <n v="-12020.312"/>
    <n v="87214.824999999997"/>
    <n v="87214.824999999997"/>
    <n v="-97909.509328312808"/>
    <n v="-14329.694740000001"/>
    <n v="133581.64413"/>
    <n v="184.51242999999999"/>
    <n v="142035.59170400002"/>
    <n v="0"/>
    <n v="0"/>
    <n v="0"/>
    <n v="91395.900000000009"/>
    <n v="0"/>
    <n v="42091.021999999997"/>
    <n v="32434.238079999999"/>
    <n v="491893.04227568721"/>
    <n v="0"/>
    <n v="502600"/>
    <n v="-10700"/>
    <n v="491900"/>
    <n v="1.0509785488419794"/>
    <n v="1.9668275030156814"/>
    <n v="0.97570000000000001"/>
    <n v="0.98809999999999998"/>
    <n v="0.98370000000000002"/>
    <n v="0.93440000000000001"/>
    <n v="0.99060000000000004"/>
    <n v="0.92691499999999993"/>
    <n v="0.83393967177863759"/>
    <n v="500100"/>
    <n v="0"/>
    <n v="500100"/>
    <n v="-9900"/>
    <n v="490200"/>
    <n v="3.8695228821811098"/>
    <n v="-1.1568938193343898"/>
    <n v="1.9565741857659831"/>
    <n v="1.0216641483633877"/>
  </r>
  <r>
    <n v="2025"/>
    <n v="18131923432"/>
    <n v="-3.912023005428146"/>
    <n v="0.02"/>
    <n v="7900"/>
    <n v="1"/>
    <s v="RES"/>
    <s v="YN1"/>
    <x v="0"/>
    <s v="R1"/>
    <n v="11"/>
    <n v="259"/>
    <s v="CP"/>
    <s v="G"/>
    <s v="EX"/>
    <n v="2023"/>
    <n v="2023"/>
    <x v="0"/>
    <n v="1"/>
    <n v="1"/>
    <n v="1"/>
    <n v="2256"/>
    <n v="0"/>
    <n v="0"/>
    <n v="0"/>
    <n v="0"/>
    <n v="0"/>
    <n v="2256"/>
    <n v="2500"/>
    <n v="3"/>
    <s v="S"/>
    <s v="HP"/>
    <s v="G"/>
    <m/>
    <n v="0"/>
    <n v="0"/>
    <n v="1"/>
    <n v="0"/>
    <n v="1"/>
    <n v="13"/>
    <n v="636"/>
    <n v="0"/>
    <n v="636"/>
    <n v="0"/>
    <n v="0"/>
    <n v="200"/>
    <n v="0"/>
    <n v="20"/>
    <n v="100"/>
    <n v="379233"/>
    <n v="379233"/>
    <n v="97"/>
    <n v="97"/>
    <n v="0"/>
    <n v="0"/>
    <d v="2023-09-26T00:00:00"/>
    <s v="E041614"/>
    <n v="534080"/>
    <n v="534080"/>
    <s v="SWD"/>
    <n v="30"/>
    <s v="N"/>
    <s v="Y"/>
    <n v="146100"/>
    <n v="63100"/>
    <n v="83000"/>
    <n v="0"/>
    <n v="0.27355452366686639"/>
    <n v="542806.01142441423"/>
    <n v="558147.72180847742"/>
    <n v="2.8203129487233225"/>
    <n v="-15341.714"/>
    <n v="87214.824999999997"/>
    <n v="87214.824999999997"/>
    <n v="-97909.509328312808"/>
    <n v="-14329.694740000001"/>
    <n v="133581.64413"/>
    <n v="184.51242999999999"/>
    <n v="155852.28350400002"/>
    <n v="0"/>
    <n v="0"/>
    <n v="0"/>
    <n v="132016.30000000002"/>
    <n v="0"/>
    <n v="42091.021999999997"/>
    <n v="32231.524092"/>
    <n v="542806.0180876872"/>
    <n v="0"/>
    <n v="553500"/>
    <n v="-10700"/>
    <n v="542800"/>
    <n v="1.0163271420011983"/>
    <n v="2.7152635181382614"/>
    <n v="0.97570000000000001"/>
    <n v="0.98809999999999998"/>
    <n v="0.98370000000000002"/>
    <n v="0.93440000000000001"/>
    <n v="0.99060000000000004"/>
    <n v="0.92691499999999993"/>
    <n v="0.83393967177863759"/>
    <n v="554400"/>
    <n v="0"/>
    <n v="554400"/>
    <n v="-9900"/>
    <n v="544500"/>
    <n v="5.6795180722891567"/>
    <n v="-1.1568938193343898"/>
    <n v="2.7268993839835729"/>
    <n v="0.99078468768723782"/>
  </r>
  <r>
    <n v="2025"/>
    <n v="18131923420"/>
    <n v="-3.912023005428146"/>
    <n v="0.02"/>
    <n v="8339"/>
    <n v="1"/>
    <s v="RES"/>
    <s v="YN1"/>
    <x v="0"/>
    <s v="R1"/>
    <n v="11"/>
    <n v="259"/>
    <s v="CO"/>
    <s v="G"/>
    <s v="EX"/>
    <n v="2023"/>
    <n v="2023"/>
    <x v="0"/>
    <n v="1"/>
    <n v="1"/>
    <n v="1"/>
    <n v="1976"/>
    <n v="0"/>
    <n v="720"/>
    <n v="0"/>
    <n v="0"/>
    <n v="0"/>
    <n v="2696"/>
    <n v="3000"/>
    <n v="3"/>
    <s v="S"/>
    <s v="HP"/>
    <s v="E"/>
    <m/>
    <n v="0"/>
    <n v="0"/>
    <n v="1"/>
    <n v="0"/>
    <n v="1"/>
    <n v="14"/>
    <n v="0"/>
    <n v="720"/>
    <n v="720"/>
    <n v="0"/>
    <n v="0"/>
    <n v="0"/>
    <n v="0"/>
    <n v="100"/>
    <n v="100"/>
    <n v="497222"/>
    <n v="497222"/>
    <n v="67"/>
    <n v="67"/>
    <n v="0"/>
    <n v="0"/>
    <d v="2023-10-26T00:00:00"/>
    <s v="E041881"/>
    <n v="589000"/>
    <n v="589000"/>
    <s v="SWD"/>
    <n v="30"/>
    <s v="N"/>
    <s v="Y"/>
    <n v="583900"/>
    <n v="66200"/>
    <n v="517700"/>
    <n v="0"/>
    <n v="0.99134125636672321"/>
    <n v="576447.06635090883"/>
    <n v="587043.91785330302"/>
    <n v="5.384342958217196E-3"/>
    <n v="-10596.854000000001"/>
    <n v="87214.824999999997"/>
    <n v="87214.824999999997"/>
    <n v="-97909.509328312808"/>
    <n v="-14329.694740000001"/>
    <n v="133581.64413"/>
    <n v="184.51242999999999"/>
    <n v="136508.914984"/>
    <n v="0"/>
    <n v="33827.471279999998"/>
    <n v="0"/>
    <n v="142171.4"/>
    <n v="0"/>
    <n v="42091.021999999997"/>
    <n v="36488.51784"/>
    <n v="576447.0745956871"/>
    <n v="0"/>
    <n v="587100"/>
    <n v="-10700"/>
    <n v="576400"/>
    <n v="0.97860780984719864"/>
    <n v="-1.2844665182394245E-2"/>
    <n v="0.97570000000000001"/>
    <n v="0.98809999999999998"/>
    <n v="0.98370000000000002"/>
    <n v="0.93310000000000004"/>
    <n v="0.99060000000000004"/>
    <n v="0.92691499999999993"/>
    <n v="0.83277943893048667"/>
    <n v="583200"/>
    <n v="0"/>
    <n v="583200"/>
    <n v="-9900"/>
    <n v="573300"/>
    <n v="0.1265211512458953"/>
    <n v="-1.149546827794562"/>
    <n v="-1.8153793457783868E-2"/>
    <n v="0.95535338879456699"/>
  </r>
  <r>
    <n v="2025"/>
    <n v="18131923437"/>
    <n v="-3.912023005428146"/>
    <n v="0.02"/>
    <n v="7900"/>
    <n v="1"/>
    <s v="RES"/>
    <n v="3042"/>
    <x v="0"/>
    <s v="R1"/>
    <n v="11"/>
    <n v="259"/>
    <s v="CO"/>
    <s v="G"/>
    <s v="EX"/>
    <n v="2022"/>
    <n v="2022"/>
    <x v="0"/>
    <n v="2"/>
    <n v="2"/>
    <n v="1"/>
    <n v="2026"/>
    <n v="0"/>
    <n v="0"/>
    <n v="0"/>
    <n v="0"/>
    <n v="0"/>
    <n v="2026"/>
    <n v="2500"/>
    <n v="3"/>
    <s v="S"/>
    <s v="HP"/>
    <s v="E"/>
    <m/>
    <n v="0"/>
    <n v="0"/>
    <n v="1"/>
    <n v="0"/>
    <n v="0"/>
    <n v="11"/>
    <n v="790"/>
    <n v="0"/>
    <n v="790"/>
    <n v="0"/>
    <n v="0"/>
    <n v="0"/>
    <n v="0"/>
    <n v="100"/>
    <n v="100"/>
    <n v="411751"/>
    <n v="407633"/>
    <n v="392"/>
    <n v="365"/>
    <n v="27"/>
    <n v="0"/>
    <d v="2022-12-05T00:00:00"/>
    <s v="E038963"/>
    <n v="533280"/>
    <n v="533280"/>
    <s v="SWD"/>
    <n v="30"/>
    <s v="N"/>
    <s v="Y"/>
    <n v="487600"/>
    <n v="63100"/>
    <n v="424500"/>
    <n v="0"/>
    <n v="0.91434143414341429"/>
    <n v="474777.11449656944"/>
    <n v="529937.32815279951"/>
    <n v="8.6827990469236074E-2"/>
    <n v="-55160.227258000006"/>
    <n v="87214.824999999997"/>
    <n v="87214.824999999997"/>
    <n v="-97909.509328312808"/>
    <n v="-14329.694740000001"/>
    <n v="133581.64413"/>
    <n v="369.02485999999999"/>
    <n v="139963.08793400001"/>
    <n v="0"/>
    <n v="0"/>
    <n v="0"/>
    <n v="111706.1"/>
    <n v="0"/>
    <n v="42091.021999999997"/>
    <n v="40036.012629999997"/>
    <n v="474777.11022768717"/>
    <n v="0"/>
    <n v="485500"/>
    <n v="-10700"/>
    <n v="474800"/>
    <n v="0.89033903390339031"/>
    <n v="-2.6251025430680888E-2"/>
    <n v="0.97570000000000001"/>
    <n v="0.98809999999999998"/>
    <n v="0.98370000000000002"/>
    <n v="0.93440000000000001"/>
    <n v="0.99060000000000004"/>
    <n v="0.92691499999999993"/>
    <n v="0.83393967177863759"/>
    <n v="526100"/>
    <n v="0"/>
    <n v="526100"/>
    <n v="-9900"/>
    <n v="516200"/>
    <n v="0.23934040047114252"/>
    <n v="-1.1568938193343898"/>
    <n v="5.8654634946677602E-2"/>
    <n v="0.86453602749399938"/>
  </r>
  <r>
    <n v="2025"/>
    <n v="18131531446"/>
    <n v="-4.6051701859880909"/>
    <n v="0.01"/>
    <n v="6375"/>
    <n v="5"/>
    <s v="RES"/>
    <s v="HE"/>
    <x v="0"/>
    <s v="R1"/>
    <n v="11"/>
    <n v="259"/>
    <s v="CU"/>
    <s v="V"/>
    <s v="EX"/>
    <n v="2021"/>
    <n v="2021"/>
    <x v="0"/>
    <n v="3"/>
    <n v="3"/>
    <n v="1"/>
    <n v="1976"/>
    <n v="0"/>
    <n v="0"/>
    <n v="0"/>
    <n v="0"/>
    <n v="0"/>
    <n v="1976"/>
    <n v="2000"/>
    <n v="3"/>
    <s v="S"/>
    <s v="HP"/>
    <s v="E"/>
    <m/>
    <n v="0"/>
    <n v="0"/>
    <n v="1"/>
    <n v="0"/>
    <n v="0"/>
    <n v="11"/>
    <n v="737"/>
    <n v="0"/>
    <n v="737"/>
    <n v="0"/>
    <n v="0"/>
    <n v="0"/>
    <n v="0"/>
    <n v="100"/>
    <n v="100"/>
    <n v="488766"/>
    <n v="488766"/>
    <n v="867"/>
    <n v="365"/>
    <n v="365"/>
    <n v="137"/>
    <d v="2021-08-17T00:00:00"/>
    <s v="E032716"/>
    <n v="678103"/>
    <n v="678103"/>
    <s v="SWD"/>
    <n v="30"/>
    <s v="N"/>
    <s v="Y"/>
    <n v="664000"/>
    <n v="53000"/>
    <n v="611000"/>
    <n v="0"/>
    <n v="0.9792022745807053"/>
    <n v="502408.30027843203"/>
    <n v="567685.94605062786"/>
    <n v="-0.14505128606833154"/>
    <n v="-65277.652710000002"/>
    <n v="87214.824999999997"/>
    <n v="87214.824999999997"/>
    <n v="-115257.49021870131"/>
    <n v="46722.525125"/>
    <n v="133581.64413"/>
    <n v="553.53728999999998"/>
    <n v="136508.914984"/>
    <n v="0"/>
    <n v="0"/>
    <n v="0"/>
    <n v="111706.1"/>
    <n v="0"/>
    <n v="42091.021999999997"/>
    <n v="37350.052288999999"/>
    <n v="502408.30288929865"/>
    <n v="0"/>
    <n v="530500"/>
    <n v="-28000"/>
    <n v="502500"/>
    <n v="0.74103786592892229"/>
    <n v="-0.24322289156626506"/>
    <n v="0.97570000000000001"/>
    <n v="0.98329999999999995"/>
    <n v="0.98370000000000002"/>
    <n v="0.99099999999999999"/>
    <n v="0.99060000000000004"/>
    <n v="0.92691499999999993"/>
    <n v="0.88015791530795529"/>
    <n v="585300"/>
    <n v="0"/>
    <n v="585300"/>
    <n v="-26000"/>
    <n v="559300"/>
    <n v="-4.2062193126022912E-2"/>
    <n v="-1.4905660377358489"/>
    <n v="-0.15768072289156626"/>
    <n v="0.72853585265070353"/>
  </r>
  <r>
    <n v="2025"/>
    <n v="18131531450"/>
    <n v="-4.6051701859880909"/>
    <n v="0.01"/>
    <n v="4121"/>
    <n v="5"/>
    <s v="CON"/>
    <s v="HE"/>
    <x v="0"/>
    <s v="R1"/>
    <n v="11"/>
    <n v="262"/>
    <s v="CE"/>
    <s v="V+"/>
    <s v="EX"/>
    <n v="2021"/>
    <n v="2021"/>
    <x v="0"/>
    <n v="3"/>
    <n v="3"/>
    <n v="1"/>
    <n v="1332"/>
    <n v="0"/>
    <n v="0"/>
    <n v="0"/>
    <n v="0"/>
    <n v="0"/>
    <n v="1332"/>
    <n v="1500"/>
    <n v="2"/>
    <m/>
    <s v="HP"/>
    <s v="E"/>
    <m/>
    <n v="0"/>
    <n v="0"/>
    <n v="1"/>
    <n v="0"/>
    <n v="0"/>
    <n v="10"/>
    <n v="0"/>
    <n v="484"/>
    <n v="484"/>
    <n v="0"/>
    <n v="0"/>
    <n v="0"/>
    <n v="0"/>
    <n v="100"/>
    <n v="100"/>
    <n v="317002"/>
    <n v="339192"/>
    <n v="769"/>
    <n v="365"/>
    <n v="365"/>
    <n v="39"/>
    <d v="2021-11-23T00:00:00"/>
    <s v="E034200"/>
    <n v="419632"/>
    <n v="419632"/>
    <s v="SWD"/>
    <n v="30"/>
    <s v="N"/>
    <s v="Y"/>
    <n v="419600"/>
    <n v="45000"/>
    <n v="374600"/>
    <n v="0"/>
    <n v="0.99992374270789641"/>
    <n v="560184.80357815209"/>
    <n v="595221.0166245267"/>
    <n v="0.41854389090687966"/>
    <n v="-35036.224710000002"/>
    <n v="87214.824999999997"/>
    <n v="87214.824999999997"/>
    <n v="-115257.49021870131"/>
    <n v="141724.10243"/>
    <n v="133581.64413"/>
    <n v="553.53728999999998"/>
    <n v="92019.167388000002"/>
    <n v="0"/>
    <n v="0"/>
    <n v="0"/>
    <n v="101551"/>
    <n v="0"/>
    <n v="42091.021999999997"/>
    <n v="24528.392548"/>
    <n v="560184.80085729866"/>
    <n v="0"/>
    <n v="588200"/>
    <n v="-28000"/>
    <n v="560200"/>
    <n v="1.3349792198879018"/>
    <n v="0.33508102955195423"/>
    <n v="0.97570000000000001"/>
    <n v="1.0051000000000001"/>
    <n v="0.98370000000000002"/>
    <n v="1.0062"/>
    <n v="0.99060000000000004"/>
    <n v="0.92691499999999993"/>
    <n v="0.91347042567919323"/>
    <n v="615700"/>
    <n v="0"/>
    <n v="615700"/>
    <n v="-26000"/>
    <n v="589700"/>
    <n v="0.64361986118526426"/>
    <n v="-1.5777777777777777"/>
    <n v="0.40538608198284082"/>
    <n v="1.321786172860983"/>
  </r>
  <r>
    <n v="2025"/>
    <n v="18131531442"/>
    <n v="-3.912023005428146"/>
    <n v="0.02"/>
    <n v="7686"/>
    <n v="5"/>
    <s v="RES"/>
    <s v="HE"/>
    <x v="0"/>
    <s v="R1"/>
    <n v="11"/>
    <n v="259"/>
    <s v="CU"/>
    <s v="V+"/>
    <s v="EX"/>
    <n v="2021"/>
    <n v="2021"/>
    <x v="0"/>
    <n v="3"/>
    <n v="3"/>
    <n v="2"/>
    <n v="1987"/>
    <n v="1608"/>
    <n v="0"/>
    <n v="0"/>
    <n v="0"/>
    <n v="0"/>
    <n v="3595"/>
    <n v="4000"/>
    <n v="3"/>
    <s v="S"/>
    <s v="HP"/>
    <s v="E"/>
    <m/>
    <n v="0"/>
    <n v="0"/>
    <n v="1"/>
    <n v="4"/>
    <n v="0"/>
    <n v="15"/>
    <n v="692"/>
    <n v="0"/>
    <n v="692"/>
    <n v="0"/>
    <n v="0"/>
    <n v="0"/>
    <n v="0"/>
    <n v="100"/>
    <n v="100"/>
    <n v="876734"/>
    <n v="876734"/>
    <n v="756"/>
    <n v="365"/>
    <n v="365"/>
    <n v="26"/>
    <d v="2021-12-06T00:00:00"/>
    <s v="E034352"/>
    <n v="919246"/>
    <n v="919246"/>
    <s v="SWD"/>
    <n v="30"/>
    <s v="N"/>
    <s v="Y"/>
    <n v="939700"/>
    <n v="63000"/>
    <n v="876700"/>
    <n v="0"/>
    <n v="1.0222508447140373"/>
    <n v="786494.84714287729"/>
    <n v="817519.44156235724"/>
    <n v="-0.13002081349115968"/>
    <n v="-31024.606710000004"/>
    <n v="87214.824999999997"/>
    <n v="87214.824999999997"/>
    <n v="-97909.509328312808"/>
    <n v="141724.10243"/>
    <n v="133581.64413"/>
    <n v="553.53728999999998"/>
    <n v="137268.833033"/>
    <n v="98384.15340000001"/>
    <n v="0"/>
    <n v="0"/>
    <n v="152326.5"/>
    <n v="0"/>
    <n v="42091.021999999997"/>
    <n v="35069.519924"/>
    <n v="786494.84616868733"/>
    <n v="0"/>
    <n v="797200"/>
    <n v="-10700"/>
    <n v="786500"/>
    <n v="0.85559251821601612"/>
    <n v="-0.16303075449611579"/>
    <n v="0.97570000000000001"/>
    <n v="1.0051000000000001"/>
    <n v="0.98370000000000002"/>
    <n v="1.034"/>
    <n v="0.99060000000000004"/>
    <n v="0.92691499999999993"/>
    <n v="0.93870842789931008"/>
    <n v="822900"/>
    <n v="0"/>
    <n v="822900"/>
    <n v="-9900"/>
    <n v="813000"/>
    <n v="-6.1366487966237025E-2"/>
    <n v="-1.1571428571428573"/>
    <n v="-0.13483026497818454"/>
    <n v="0.85067043347482618"/>
  </r>
  <r>
    <n v="2025"/>
    <n v="18131524446"/>
    <n v="-1.3470736479666092"/>
    <n v="0.26"/>
    <n v="11178"/>
    <n v="5"/>
    <s v="RES"/>
    <n v="3041"/>
    <x v="0"/>
    <s v="R1"/>
    <n v="11"/>
    <n v="259"/>
    <s v="TD"/>
    <s v="A+"/>
    <s v="EX"/>
    <n v="2020"/>
    <n v="2020"/>
    <x v="0"/>
    <n v="4"/>
    <n v="4"/>
    <n v="2"/>
    <n v="1419"/>
    <n v="0"/>
    <n v="0"/>
    <n v="919"/>
    <n v="919"/>
    <n v="0"/>
    <n v="2338"/>
    <n v="2500"/>
    <n v="2"/>
    <s v="S"/>
    <s v="HP"/>
    <s v="E"/>
    <m/>
    <n v="0"/>
    <n v="0"/>
    <n v="1"/>
    <n v="0"/>
    <n v="1"/>
    <n v="11"/>
    <n v="0"/>
    <n v="770"/>
    <n v="770"/>
    <n v="0"/>
    <n v="0"/>
    <n v="0"/>
    <n v="0"/>
    <n v="100"/>
    <n v="100"/>
    <n v="341253"/>
    <n v="334428"/>
    <n v="424"/>
    <n v="365"/>
    <n v="59"/>
    <n v="0"/>
    <d v="2022-11-03T00:00:00"/>
    <s v="E038642"/>
    <n v="500000"/>
    <n v="500000"/>
    <s v="SWD"/>
    <n v="30"/>
    <s v="N"/>
    <s v="Y"/>
    <n v="487300"/>
    <n v="84000"/>
    <n v="403300"/>
    <n v="0"/>
    <n v="0.97460000000000002"/>
    <n v="509746.07860185264"/>
    <n v="561861.66679152276"/>
    <n v="0.15300978204704035"/>
    <n v="-52115.601786000007"/>
    <n v="87214.824999999997"/>
    <n v="87214.824999999997"/>
    <n v="-33714.35181196651"/>
    <n v="30313.66692"/>
    <n v="133581.64413"/>
    <n v="738.04971999999998"/>
    <n v="98029.428321000014"/>
    <n v="0"/>
    <n v="0"/>
    <n v="26291.356701999997"/>
    <n v="111706.1"/>
    <n v="0"/>
    <n v="42091.021999999997"/>
    <n v="39022.442690000003"/>
    <n v="570373.40688503359"/>
    <n v="0"/>
    <n v="516900"/>
    <n v="53500"/>
    <n v="570400"/>
    <n v="1.1408"/>
    <n v="0.1705315001026062"/>
    <n v="0.97570000000000001"/>
    <n v="0.85299999999999998"/>
    <n v="0.98370000000000002"/>
    <n v="0.93440000000000001"/>
    <n v="0.99060000000000004"/>
    <n v="0.92691499999999993"/>
    <n v="0.7199175589790282"/>
    <n v="544600"/>
    <n v="0"/>
    <n v="544600"/>
    <n v="49600"/>
    <n v="594200"/>
    <n v="0.3503595338457724"/>
    <n v="-0.40952380952380951"/>
    <n v="0.21937205007182434"/>
    <n v="1.084168796428"/>
  </r>
  <r>
    <n v="2025"/>
    <n v="18131743494"/>
    <n v="-1.1394342831883648"/>
    <n v="0.32"/>
    <n v="13913"/>
    <n v="1"/>
    <s v="RES"/>
    <n v="3041"/>
    <x v="0"/>
    <s v="SR"/>
    <n v="11"/>
    <n v="259"/>
    <s v="CO"/>
    <s v="G"/>
    <s v="EX"/>
    <n v="2020"/>
    <n v="2020"/>
    <x v="0"/>
    <n v="4"/>
    <n v="4"/>
    <n v="2"/>
    <n v="1512"/>
    <n v="1056"/>
    <n v="0"/>
    <n v="0"/>
    <n v="0"/>
    <n v="0"/>
    <n v="2568"/>
    <n v="3000"/>
    <n v="2"/>
    <s v="S"/>
    <s v="HP"/>
    <s v="E"/>
    <m/>
    <n v="0"/>
    <n v="0"/>
    <n v="1"/>
    <n v="0"/>
    <n v="0"/>
    <n v="9"/>
    <n v="588"/>
    <n v="0"/>
    <n v="588"/>
    <n v="0"/>
    <n v="0"/>
    <n v="0"/>
    <n v="0"/>
    <n v="100"/>
    <n v="100"/>
    <n v="434312"/>
    <n v="425626"/>
    <n v="991"/>
    <n v="365"/>
    <n v="365"/>
    <n v="261"/>
    <d v="2021-04-15T00:00:00"/>
    <s v="E030817"/>
    <n v="549000"/>
    <n v="549000"/>
    <s v="SWD"/>
    <n v="30"/>
    <s v="N"/>
    <s v="Y"/>
    <n v="534500"/>
    <n v="95800"/>
    <n v="438700"/>
    <n v="0"/>
    <n v="0.9735883424408015"/>
    <n v="494710.29721467925"/>
    <n v="598252.61296648544"/>
    <n v="0.11927523473617481"/>
    <n v="-103542.31671"/>
    <n v="87214.824999999997"/>
    <n v="87214.824999999997"/>
    <n v="-28517.585766758784"/>
    <n v="-14329.694740000001"/>
    <n v="133581.64413"/>
    <n v="738.04971999999998"/>
    <n v="104454.19000800001"/>
    <n v="64610.488800000006"/>
    <n v="0"/>
    <n v="0"/>
    <n v="91395.900000000009"/>
    <n v="0"/>
    <n v="42091.021999999997"/>
    <n v="29798.956236000002"/>
    <n v="494710.3036772412"/>
    <n v="0"/>
    <n v="436000"/>
    <n v="58700"/>
    <n v="494700"/>
    <n v="0.90109289617486343"/>
    <n v="-7.4462114125350795E-2"/>
    <n v="0.97570000000000001"/>
    <n v="0.98809999999999998"/>
    <n v="0.98370000000000002"/>
    <n v="0.93310000000000004"/>
    <n v="0.99060000000000004"/>
    <n v="0.92691499999999993"/>
    <n v="0.83277943893048667"/>
    <n v="525000"/>
    <n v="0"/>
    <n v="525000"/>
    <n v="54400"/>
    <n v="579400"/>
    <n v="0.19671757465238204"/>
    <n v="-0.43215031315240082"/>
    <n v="8.4003741814780167E-2"/>
    <n v="0.86677173641165761"/>
  </r>
  <r>
    <n v="2025"/>
    <n v="18131531427"/>
    <n v="-4.6051701859880909"/>
    <n v="0.01"/>
    <n v="6000"/>
    <n v="5"/>
    <s v="RES"/>
    <n v="3041"/>
    <x v="0"/>
    <s v="R1"/>
    <n v="11"/>
    <n v="331"/>
    <s v="CU"/>
    <s v="V"/>
    <s v="EX"/>
    <n v="2019"/>
    <n v="2019"/>
    <x v="0"/>
    <n v="5"/>
    <n v="5"/>
    <n v="1"/>
    <n v="1973"/>
    <n v="0"/>
    <n v="0"/>
    <n v="0"/>
    <n v="0"/>
    <n v="0"/>
    <n v="1973"/>
    <n v="2000"/>
    <n v="2"/>
    <s v="S"/>
    <s v="HP"/>
    <s v="G"/>
    <m/>
    <n v="0"/>
    <n v="0"/>
    <n v="1"/>
    <n v="1"/>
    <n v="0"/>
    <n v="10"/>
    <n v="549"/>
    <n v="0"/>
    <n v="549"/>
    <n v="0"/>
    <n v="0"/>
    <n v="0"/>
    <n v="0"/>
    <n v="100"/>
    <n v="100"/>
    <n v="475939"/>
    <n v="471180"/>
    <n v="195"/>
    <n v="195"/>
    <n v="0"/>
    <n v="0"/>
    <d v="2023-06-20T00:00:00"/>
    <s v="E040614"/>
    <n v="649000"/>
    <n v="649000"/>
    <s v="SWD"/>
    <n v="30"/>
    <s v="N"/>
    <s v="Y"/>
    <n v="506300"/>
    <n v="48800"/>
    <n v="457500"/>
    <n v="0"/>
    <n v="0.78012326656394448"/>
    <n v="517323.48087185743"/>
    <n v="548165.06360270618"/>
    <n v="8.2688255190018142E-2"/>
    <n v="-30841.59"/>
    <n v="87214.824999999997"/>
    <n v="87214.824999999997"/>
    <n v="-115257.49021870131"/>
    <n v="46722.525125"/>
    <n v="133581.64413"/>
    <n v="922.56214999999997"/>
    <n v="136301.66460700001"/>
    <n v="0"/>
    <n v="0"/>
    <n v="0"/>
    <n v="101551"/>
    <n v="0"/>
    <n v="42091.021999999997"/>
    <n v="27822.494853"/>
    <n v="517323.48264629871"/>
    <n v="0"/>
    <n v="545400"/>
    <n v="-28000"/>
    <n v="517400"/>
    <n v="0.79722650231124803"/>
    <n v="2.1923760616235435E-2"/>
    <n v="0.97570000000000001"/>
    <n v="0.98329999999999995"/>
    <n v="0.98370000000000002"/>
    <n v="0.99099999999999999"/>
    <n v="0.99060000000000004"/>
    <n v="0.92691499999999993"/>
    <n v="0.88015791530795529"/>
    <n v="565800"/>
    <n v="0"/>
    <n v="565800"/>
    <n v="-26000"/>
    <n v="539800"/>
    <n v="0.23672131147540984"/>
    <n v="-1.5327868852459017"/>
    <n v="6.6166304562512351E-2"/>
    <n v="0.78421942989214166"/>
  </r>
  <r>
    <n v="2025"/>
    <n v="18131743455"/>
    <n v="-1.5141277326297755"/>
    <n v="0.22"/>
    <n v="9733"/>
    <n v="1"/>
    <s v="RES"/>
    <n v="3041"/>
    <x v="0"/>
    <s v="SR"/>
    <n v="11"/>
    <n v="259"/>
    <s v="CP"/>
    <s v="V"/>
    <s v="EX"/>
    <n v="2019"/>
    <n v="2019"/>
    <x v="0"/>
    <n v="5"/>
    <n v="5"/>
    <n v="1"/>
    <n v="2560"/>
    <n v="0"/>
    <n v="0"/>
    <n v="0"/>
    <n v="0"/>
    <n v="0"/>
    <n v="2560"/>
    <n v="3000"/>
    <n v="3"/>
    <m/>
    <s v="FD"/>
    <s v="G"/>
    <s v="Y"/>
    <n v="0"/>
    <n v="0"/>
    <n v="1"/>
    <n v="0"/>
    <n v="1"/>
    <n v="14"/>
    <n v="900"/>
    <n v="0"/>
    <n v="900"/>
    <n v="0"/>
    <n v="0"/>
    <n v="336"/>
    <n v="336"/>
    <n v="100"/>
    <n v="100"/>
    <n v="582612"/>
    <n v="576786"/>
    <n v="614"/>
    <n v="365"/>
    <n v="249"/>
    <n v="0"/>
    <d v="2022-04-27T00:00:00"/>
    <s v="E036215"/>
    <n v="607000"/>
    <n v="607000"/>
    <s v="SWD"/>
    <n v="30"/>
    <s v="N"/>
    <s v="Y"/>
    <n v="593300"/>
    <n v="74500"/>
    <n v="518800"/>
    <n v="0"/>
    <n v="0.97742998352553545"/>
    <n v="690449.61552652041"/>
    <n v="724487.74000849086"/>
    <n v="0.22111535480952446"/>
    <n v="-34038.138046000007"/>
    <n v="87214.824999999997"/>
    <n v="87214.824999999997"/>
    <n v="-37895.355716587197"/>
    <n v="46722.525125"/>
    <n v="133581.64413"/>
    <n v="922.56214999999997"/>
    <n v="176853.65504000001"/>
    <n v="0"/>
    <n v="0"/>
    <n v="0"/>
    <n v="142171.4"/>
    <n v="0"/>
    <n v="42091.021999999997"/>
    <n v="45610.647299999997"/>
    <n v="690449.61198241275"/>
    <n v="0"/>
    <n v="641100"/>
    <n v="49300"/>
    <n v="690400"/>
    <n v="1.1373970345963755"/>
    <n v="0.16366087982470925"/>
    <n v="0.97570000000000001"/>
    <n v="0.98329999999999995"/>
    <n v="0.98370000000000002"/>
    <n v="0.93310000000000004"/>
    <n v="0.99060000000000004"/>
    <n v="0.92691499999999993"/>
    <n v="0.82873395638128478"/>
    <n v="660200"/>
    <n v="0"/>
    <n v="660200"/>
    <n v="45700"/>
    <n v="705900"/>
    <n v="0.27255204317656129"/>
    <n v="-0.38657718120805368"/>
    <n v="0.18978594303050733"/>
    <n v="1.1068564447347611"/>
  </r>
  <r>
    <n v="2025"/>
    <n v="18131733456"/>
    <n v="-0.67334455326376563"/>
    <n v="0.51"/>
    <n v="22129"/>
    <n v="1"/>
    <s v="RES"/>
    <s v="HE"/>
    <x v="0"/>
    <s v="SR"/>
    <n v="11"/>
    <n v="331"/>
    <s v="CU"/>
    <s v="X"/>
    <s v="EX"/>
    <n v="2019"/>
    <n v="2019"/>
    <x v="0"/>
    <n v="5"/>
    <n v="5"/>
    <n v="2"/>
    <n v="2362"/>
    <n v="1374"/>
    <n v="0"/>
    <n v="0"/>
    <n v="0"/>
    <n v="0"/>
    <n v="3736"/>
    <n v="4000"/>
    <n v="4"/>
    <s v="S"/>
    <s v="FD"/>
    <s v="G"/>
    <s v="Y"/>
    <n v="0"/>
    <n v="0"/>
    <n v="1"/>
    <n v="2"/>
    <n v="1"/>
    <n v="21"/>
    <n v="912"/>
    <n v="0"/>
    <n v="912"/>
    <n v="0"/>
    <n v="0"/>
    <n v="547"/>
    <n v="96"/>
    <n v="100"/>
    <n v="100"/>
    <n v="1565929"/>
    <n v="1550270"/>
    <n v="875"/>
    <n v="365"/>
    <n v="365"/>
    <n v="145"/>
    <d v="2021-08-09T00:00:00"/>
    <s v="E032671"/>
    <n v="1400000"/>
    <n v="1400000"/>
    <s v="SWD"/>
    <n v="30"/>
    <s v="N"/>
    <s v="Y"/>
    <n v="1435400"/>
    <n v="120000"/>
    <n v="1315400"/>
    <n v="0"/>
    <n v="1.0252857142857144"/>
    <n v="1292385.9896926833"/>
    <n v="1360132.3238506606"/>
    <n v="-5.2436725755426648E-2"/>
    <n v="-67746.340710000004"/>
    <n v="87214.824999999997"/>
    <n v="87214.824999999997"/>
    <n v="-16852.363784024325"/>
    <n v="519241.74659"/>
    <n v="133581.64413"/>
    <n v="922.56214999999997"/>
    <n v="163175.13015800001"/>
    <n v="84067.056450000004"/>
    <n v="0"/>
    <n v="0"/>
    <n v="213257.1"/>
    <n v="0"/>
    <n v="42091.021999999997"/>
    <n v="46218.789263999999"/>
    <n v="1292385.9962479756"/>
    <n v="0"/>
    <n v="1222000"/>
    <n v="70400"/>
    <n v="1292400"/>
    <n v="0.92314285714285715"/>
    <n v="-9.9623798244391812E-2"/>
    <n v="0.97570000000000001"/>
    <n v="0.99960000000000004"/>
    <n v="0.98370000000000002"/>
    <n v="1.034"/>
    <n v="0.99060000000000004"/>
    <n v="0.92691499999999993"/>
    <n v="0.93357172871172045"/>
    <n v="1284000"/>
    <n v="0"/>
    <n v="1284000"/>
    <n v="65200"/>
    <n v="1349200"/>
    <n v="-2.3871065835487305E-2"/>
    <n v="-0.45666666666666667"/>
    <n v="-6.0052946913752264E-2"/>
    <n v="0.91532404235000009"/>
  </r>
  <r>
    <n v="2025"/>
    <n v="18131923415"/>
    <n v="-0.65392646740666394"/>
    <n v="0.52"/>
    <n v="22783"/>
    <n v="1"/>
    <s v="RES"/>
    <s v="HE"/>
    <x v="0"/>
    <s v="R1"/>
    <n v="11"/>
    <n v="259"/>
    <s v="CP"/>
    <s v="V+"/>
    <s v="EX"/>
    <n v="2018"/>
    <n v="2018"/>
    <x v="0"/>
    <n v="6"/>
    <n v="6"/>
    <n v="1"/>
    <n v="3272"/>
    <n v="0"/>
    <n v="0"/>
    <n v="0"/>
    <n v="0"/>
    <n v="0"/>
    <n v="3272"/>
    <n v="3500"/>
    <n v="3"/>
    <s v="S"/>
    <s v="FD"/>
    <s v="G"/>
    <s v="Y"/>
    <n v="0"/>
    <n v="0"/>
    <n v="1"/>
    <n v="3"/>
    <n v="0"/>
    <n v="17"/>
    <n v="1560"/>
    <n v="0"/>
    <n v="1560"/>
    <n v="0"/>
    <n v="0"/>
    <n v="0"/>
    <n v="0"/>
    <n v="100"/>
    <n v="100"/>
    <n v="894760"/>
    <n v="921603"/>
    <n v="455"/>
    <n v="365"/>
    <n v="90"/>
    <n v="0"/>
    <d v="2022-10-03T00:00:00"/>
    <s v="E038286"/>
    <n v="917000"/>
    <n v="917000"/>
    <s v="SWD"/>
    <n v="30"/>
    <s v="N"/>
    <s v="Y"/>
    <n v="713100"/>
    <n v="123400"/>
    <n v="589700"/>
    <n v="0"/>
    <n v="0.77764449291166848"/>
    <n v="905137.23675760441"/>
    <n v="954303.34402654448"/>
    <n v="0.33824617027982679"/>
    <n v="-49166.120860000003"/>
    <n v="87214.824999999997"/>
    <n v="87214.824999999997"/>
    <n v="-16366.370921578005"/>
    <n v="141724.10243"/>
    <n v="133581.64413"/>
    <n v="1107.07458"/>
    <n v="226041.07784800002"/>
    <n v="0"/>
    <n v="0"/>
    <n v="0"/>
    <n v="172636.7"/>
    <n v="0"/>
    <n v="42091.021999999997"/>
    <n v="79058.455319999994"/>
    <n v="905137.23452642199"/>
    <n v="0"/>
    <n v="834300"/>
    <n v="70800"/>
    <n v="905100"/>
    <n v="0.98702290076335875"/>
    <n v="0.26924694993689524"/>
    <n v="0.97570000000000001"/>
    <n v="1.0051000000000001"/>
    <n v="0.98370000000000002"/>
    <n v="0.99619999999999997"/>
    <n v="0.99060000000000004"/>
    <n v="0.92691499999999993"/>
    <n v="0.90439200761440286"/>
    <n v="875100"/>
    <n v="0"/>
    <n v="875100"/>
    <n v="65700"/>
    <n v="940800"/>
    <n v="0.48397490249279296"/>
    <n v="-0.46758508914100488"/>
    <n v="0.31931005469078672"/>
    <n v="0.97233792708833144"/>
  </r>
  <r>
    <n v="2025"/>
    <n v="18131531496"/>
    <n v="-4.6051701859880909"/>
    <n v="0.01"/>
    <n v="6511"/>
    <n v="5"/>
    <s v="RES"/>
    <s v="HE"/>
    <x v="0"/>
    <s v="R1"/>
    <n v="11"/>
    <n v="331"/>
    <s v="CU"/>
    <s v="E"/>
    <s v="EX"/>
    <n v="2017"/>
    <n v="2017"/>
    <x v="0"/>
    <n v="7"/>
    <n v="7"/>
    <n v="1"/>
    <n v="1740"/>
    <n v="0"/>
    <n v="0"/>
    <n v="0"/>
    <n v="0"/>
    <n v="0"/>
    <n v="1740"/>
    <n v="2000"/>
    <n v="2"/>
    <s v="S"/>
    <s v="HP"/>
    <s v="G"/>
    <m/>
    <n v="0"/>
    <n v="0"/>
    <n v="1"/>
    <n v="1"/>
    <n v="0"/>
    <n v="10"/>
    <n v="552"/>
    <n v="0"/>
    <n v="552"/>
    <n v="0"/>
    <n v="0"/>
    <n v="72"/>
    <n v="0"/>
    <n v="100"/>
    <n v="100"/>
    <n v="592422"/>
    <n v="639816"/>
    <n v="412"/>
    <n v="365"/>
    <n v="47"/>
    <n v="0"/>
    <d v="2022-11-15T00:00:00"/>
    <s v="E038755"/>
    <n v="628508"/>
    <n v="628508"/>
    <s v="SWD"/>
    <n v="30"/>
    <s v="N"/>
    <s v="Y"/>
    <n v="498100"/>
    <n v="52800"/>
    <n v="445300"/>
    <n v="0"/>
    <n v="0.79251178982606429"/>
    <n v="675950.19413118006"/>
    <n v="729207.51687081007"/>
    <n v="0.46397815071433463"/>
    <n v="-53257.336338000008"/>
    <n v="87214.824999999997"/>
    <n v="87214.824999999997"/>
    <n v="-115257.49021870131"/>
    <n v="243340.36395999999"/>
    <n v="133581.64413"/>
    <n v="1291.58701"/>
    <n v="120205.21866000001"/>
    <n v="0"/>
    <n v="0"/>
    <n v="0"/>
    <n v="101551"/>
    <n v="0"/>
    <n v="42091.021999999997"/>
    <n v="27974.530343999999"/>
    <n v="675950.18954729871"/>
    <n v="0"/>
    <n v="704000"/>
    <n v="-28000"/>
    <n v="676000"/>
    <n v="1.0755630795471178"/>
    <n v="0.35715719734992973"/>
    <n v="0.97570000000000001"/>
    <n v="0.99519999999999997"/>
    <n v="0.98370000000000002"/>
    <n v="0.99099999999999999"/>
    <n v="0.99060000000000004"/>
    <n v="0.92691499999999993"/>
    <n v="0.89080967895299223"/>
    <n v="747700"/>
    <n v="0"/>
    <n v="747700"/>
    <n v="-26000"/>
    <n v="721700"/>
    <n v="0.67909274646305862"/>
    <n v="-1.4924242424242424"/>
    <n v="0.44890584220036139"/>
    <n v="1.0635388311079572"/>
  </r>
  <r>
    <n v="2025"/>
    <n v="18131743479"/>
    <n v="-3.912023005428146"/>
    <n v="0.02"/>
    <n v="9468"/>
    <n v="1"/>
    <s v="RES"/>
    <n v="3041"/>
    <x v="0"/>
    <s v="SR"/>
    <n v="11"/>
    <n v="259"/>
    <s v="CP"/>
    <s v="V"/>
    <s v="EX"/>
    <n v="2017"/>
    <n v="2017"/>
    <x v="0"/>
    <n v="7"/>
    <n v="7"/>
    <n v="2"/>
    <n v="2224"/>
    <n v="906"/>
    <n v="420"/>
    <n v="0"/>
    <n v="0"/>
    <n v="0"/>
    <n v="3550"/>
    <n v="4000"/>
    <n v="3"/>
    <m/>
    <s v="FD"/>
    <s v="G"/>
    <s v="Y"/>
    <n v="0"/>
    <n v="0"/>
    <n v="1"/>
    <n v="0"/>
    <n v="1"/>
    <n v="17"/>
    <n v="876"/>
    <n v="0"/>
    <n v="876"/>
    <n v="0"/>
    <n v="0"/>
    <n v="0"/>
    <n v="0"/>
    <n v="100"/>
    <n v="100"/>
    <n v="709679"/>
    <n v="695485"/>
    <n v="997"/>
    <n v="365"/>
    <n v="365"/>
    <n v="267"/>
    <d v="2021-04-09T00:00:00"/>
    <s v="E030759"/>
    <n v="630000"/>
    <n v="630000"/>
    <s v="SWD"/>
    <n v="30"/>
    <s v="N"/>
    <s v="Y"/>
    <n v="678200"/>
    <n v="74500"/>
    <n v="603700"/>
    <n v="0"/>
    <n v="1.0765079365079364"/>
    <n v="640651.30493581714"/>
    <n v="746045.1369769593"/>
    <n v="0.1000370642538474"/>
    <n v="-105393.83271"/>
    <n v="87214.824999999997"/>
    <n v="87214.824999999997"/>
    <n v="-97909.509328312808"/>
    <n v="46722.525125"/>
    <n v="133581.64413"/>
    <n v="1291.58701"/>
    <n v="153641.61281600001"/>
    <n v="55432.862550000005"/>
    <n v="19732.691579999999"/>
    <n v="0"/>
    <n v="172636.7"/>
    <n v="0"/>
    <n v="42091.021999999997"/>
    <n v="44394.363372"/>
    <n v="640651.31654468726"/>
    <n v="0"/>
    <n v="651300"/>
    <n v="-10700"/>
    <n v="640600"/>
    <n v="1.0168253968253969"/>
    <n v="-5.5440872898849899E-2"/>
    <n v="0.97570000000000001"/>
    <n v="0.98329999999999995"/>
    <n v="0.98370000000000002"/>
    <n v="1.034"/>
    <n v="0.99060000000000004"/>
    <n v="0.92691499999999993"/>
    <n v="0.91834842021031871"/>
    <n v="749600"/>
    <n v="0"/>
    <n v="749600"/>
    <n v="-9900"/>
    <n v="739700"/>
    <n v="0.24167632930263375"/>
    <n v="-1.1328859060402685"/>
    <n v="9.0681214980831606E-2"/>
    <n v="1.0068351861746032"/>
  </r>
  <r>
    <n v="2025"/>
    <n v="18131531430"/>
    <n v="-3.912023005428146"/>
    <n v="0.02"/>
    <n v="6670"/>
    <n v="5"/>
    <s v="RES"/>
    <s v="HE"/>
    <x v="0"/>
    <s v="R1"/>
    <n v="11"/>
    <n v="259"/>
    <s v="CU"/>
    <s v="V+"/>
    <s v="EX"/>
    <n v="2017"/>
    <n v="2017"/>
    <x v="0"/>
    <n v="7"/>
    <n v="7"/>
    <n v="1"/>
    <n v="1740"/>
    <n v="0"/>
    <n v="0"/>
    <n v="0"/>
    <n v="0"/>
    <n v="0"/>
    <n v="1740"/>
    <n v="2000"/>
    <n v="2"/>
    <s v="S"/>
    <s v="HP"/>
    <s v="G"/>
    <m/>
    <n v="0"/>
    <n v="0"/>
    <n v="1"/>
    <n v="1"/>
    <n v="0"/>
    <n v="10"/>
    <n v="552"/>
    <n v="0"/>
    <n v="552"/>
    <n v="0"/>
    <n v="0"/>
    <n v="72"/>
    <n v="0"/>
    <n v="100"/>
    <n v="100"/>
    <n v="513890"/>
    <n v="580696"/>
    <n v="446"/>
    <n v="365"/>
    <n v="81"/>
    <n v="0"/>
    <d v="2022-10-12T00:00:00"/>
    <s v="E038410"/>
    <n v="599950"/>
    <n v="599950"/>
    <s v="SWD"/>
    <n v="30"/>
    <s v="N"/>
    <s v="Y"/>
    <n v="529200"/>
    <n v="52800"/>
    <n v="476400"/>
    <n v="0"/>
    <n v="0.8820735061255105"/>
    <n v="594916.82828785933"/>
    <n v="644939.23646926938"/>
    <n v="0.21870604019136317"/>
    <n v="-50022.421774000002"/>
    <n v="87214.824999999997"/>
    <n v="87214.824999999997"/>
    <n v="-97909.509328312808"/>
    <n v="141724.10243"/>
    <n v="133581.64413"/>
    <n v="1291.58701"/>
    <n v="120205.21866000001"/>
    <n v="0"/>
    <n v="0"/>
    <n v="0"/>
    <n v="101551"/>
    <n v="0"/>
    <n v="42091.021999999997"/>
    <n v="27974.530343999999"/>
    <n v="594916.82347168715"/>
    <n v="0"/>
    <n v="605600"/>
    <n v="-10700"/>
    <n v="594900"/>
    <n v="0.9915826318859905"/>
    <n v="0.12414965986394558"/>
    <n v="0.97570000000000001"/>
    <n v="1.0051000000000001"/>
    <n v="0.98370000000000002"/>
    <n v="0.99099999999999999"/>
    <n v="0.99060000000000004"/>
    <n v="0.92691499999999993"/>
    <n v="0.89967123022071205"/>
    <n v="646900"/>
    <n v="0"/>
    <n v="646900"/>
    <n v="-9900"/>
    <n v="637000"/>
    <n v="0.35789252728799326"/>
    <n v="-1.1875"/>
    <n v="0.20370370370370369"/>
    <n v="0.9783774951679306"/>
  </r>
  <r>
    <n v="2025"/>
    <n v="18131531419"/>
    <n v="-3.912023005428146"/>
    <n v="0.02"/>
    <n v="7533"/>
    <n v="5"/>
    <s v="RES"/>
    <s v="HE"/>
    <x v="0"/>
    <s v="R1"/>
    <n v="11"/>
    <n v="259"/>
    <s v="CU"/>
    <s v="V+"/>
    <s v="EX"/>
    <n v="2017"/>
    <n v="2017"/>
    <x v="0"/>
    <n v="7"/>
    <n v="7"/>
    <n v="1"/>
    <n v="1944"/>
    <n v="0"/>
    <n v="0"/>
    <n v="0"/>
    <n v="0"/>
    <n v="0"/>
    <n v="1944"/>
    <n v="2000"/>
    <n v="2"/>
    <s v="S"/>
    <s v="HP"/>
    <s v="E"/>
    <m/>
    <n v="0"/>
    <n v="0"/>
    <n v="1"/>
    <n v="1"/>
    <n v="0"/>
    <n v="10"/>
    <n v="576"/>
    <n v="0"/>
    <n v="576"/>
    <n v="0"/>
    <n v="0"/>
    <n v="0"/>
    <n v="0"/>
    <n v="100"/>
    <n v="100"/>
    <n v="569226"/>
    <n v="557841"/>
    <n v="745"/>
    <n v="365"/>
    <n v="365"/>
    <n v="15"/>
    <d v="2021-12-17T00:00:00"/>
    <s v="E034682"/>
    <n v="699000"/>
    <n v="699000"/>
    <s v="SWD"/>
    <n v="30"/>
    <s v="N"/>
    <s v="Y"/>
    <n v="628600"/>
    <n v="60000"/>
    <n v="568600"/>
    <n v="0"/>
    <n v="0.89928469241773967"/>
    <n v="632618.39811108983"/>
    <n v="660248.54600012046"/>
    <n v="5.03476710151455E-2"/>
    <n v="-27630.160710000004"/>
    <n v="87214.824999999997"/>
    <n v="87214.824999999997"/>
    <n v="-97909.509328312808"/>
    <n v="141724.10243"/>
    <n v="133581.64413"/>
    <n v="1291.58701"/>
    <n v="134298.24429600002"/>
    <n v="0"/>
    <n v="0"/>
    <n v="0"/>
    <n v="101551"/>
    <n v="0"/>
    <n v="42091.021999999997"/>
    <n v="29190.814272"/>
    <n v="632618.39409968723"/>
    <n v="0"/>
    <n v="643300"/>
    <n v="-10700"/>
    <n v="632600"/>
    <n v="0.90500715307582258"/>
    <n v="6.363347120585428E-3"/>
    <n v="0.97570000000000001"/>
    <n v="1.0051000000000001"/>
    <n v="0.98370000000000002"/>
    <n v="0.99099999999999999"/>
    <n v="0.99060000000000004"/>
    <n v="0.92691499999999993"/>
    <n v="0.89967123022071205"/>
    <n v="662200"/>
    <n v="0"/>
    <n v="662200"/>
    <n v="-9900"/>
    <n v="652300"/>
    <n v="0.16461484347520225"/>
    <n v="-1.165"/>
    <n v="3.7702831689468662E-2"/>
    <n v="0.89366214490701001"/>
  </r>
  <r>
    <n v="2025"/>
    <n v="18131743481"/>
    <n v="-1.2378743560016174"/>
    <n v="0.28999999999999998"/>
    <n v="12771"/>
    <n v="1"/>
    <s v="RES"/>
    <n v="3041"/>
    <x v="0"/>
    <s v="SR"/>
    <n v="11"/>
    <n v="259"/>
    <s v="CP"/>
    <s v="V"/>
    <s v="VG"/>
    <n v="2016"/>
    <n v="2016"/>
    <x v="0"/>
    <n v="8"/>
    <n v="8"/>
    <n v="1"/>
    <n v="2580"/>
    <n v="0"/>
    <n v="0"/>
    <n v="0"/>
    <n v="0"/>
    <n v="0"/>
    <n v="2580"/>
    <n v="3000"/>
    <n v="3"/>
    <m/>
    <s v="FD"/>
    <s v="G"/>
    <s v="Y"/>
    <n v="0"/>
    <n v="0"/>
    <n v="1"/>
    <n v="1"/>
    <n v="0"/>
    <n v="17"/>
    <n v="720"/>
    <n v="0"/>
    <n v="720"/>
    <n v="0"/>
    <n v="0"/>
    <n v="0"/>
    <n v="0"/>
    <n v="100"/>
    <n v="100"/>
    <n v="599560"/>
    <n v="587569"/>
    <n v="529"/>
    <n v="365"/>
    <n v="164"/>
    <n v="0"/>
    <d v="2022-07-21T00:00:00"/>
    <s v="E037513"/>
    <n v="710000"/>
    <n v="665472"/>
    <s v="SWD"/>
    <n v="30"/>
    <s v="N"/>
    <s v="Y"/>
    <n v="652100"/>
    <n v="90200"/>
    <n v="561900"/>
    <n v="44528"/>
    <n v="0.91845070422535213"/>
    <n v="685530.47655255557"/>
    <n v="727655.88743007579"/>
    <n v="0.11586549214855971"/>
    <n v="-42125.424456000008"/>
    <n v="87214.824999999997"/>
    <n v="87214.824999999997"/>
    <n v="-30981.328749357657"/>
    <n v="46722.525125"/>
    <n v="106557.38887"/>
    <n v="1476.09944"/>
    <n v="178235.32422000001"/>
    <n v="0"/>
    <n v="0"/>
    <n v="0"/>
    <n v="172636.7"/>
    <n v="0"/>
    <n v="42091.021999999997"/>
    <n v="36488.51784"/>
    <n v="685530.4742896423"/>
    <n v="44500"/>
    <n v="629300"/>
    <n v="56200"/>
    <n v="730000"/>
    <n v="1.028169014084507"/>
    <n v="0.11946020548995553"/>
    <n v="0.97570000000000001"/>
    <n v="0.98329999999999995"/>
    <n v="0.9748"/>
    <n v="0.93310000000000004"/>
    <n v="0.99060000000000004"/>
    <n v="0.92691499999999993"/>
    <n v="0.8212360076044285"/>
    <n v="655800"/>
    <n v="41300"/>
    <n v="697100"/>
    <n v="52100"/>
    <n v="749200"/>
    <n v="0.24061220857803881"/>
    <n v="-0.42239467849223949"/>
    <n v="0.14890354240147216"/>
    <n v="0.99587968386478876"/>
  </r>
  <r>
    <n v="2025"/>
    <n v="18131743496"/>
    <n v="-1.1394342831883648"/>
    <n v="0.32"/>
    <n v="13832"/>
    <n v="1"/>
    <s v="RES"/>
    <n v="3041"/>
    <x v="0"/>
    <s v="SR"/>
    <n v="11"/>
    <n v="259"/>
    <s v="CP"/>
    <s v="V"/>
    <s v="VG"/>
    <n v="2016"/>
    <n v="2016"/>
    <x v="0"/>
    <n v="8"/>
    <n v="8"/>
    <n v="2"/>
    <n v="2000"/>
    <n v="897"/>
    <n v="0"/>
    <n v="0"/>
    <n v="0"/>
    <n v="0"/>
    <n v="2897"/>
    <n v="3000"/>
    <n v="3"/>
    <s v="S"/>
    <s v="FD"/>
    <s v="G"/>
    <s v="Y"/>
    <n v="0"/>
    <n v="0"/>
    <n v="1"/>
    <n v="1"/>
    <n v="1"/>
    <n v="17"/>
    <n v="960"/>
    <n v="0"/>
    <n v="960"/>
    <n v="0"/>
    <n v="0"/>
    <n v="0"/>
    <n v="0"/>
    <n v="100"/>
    <n v="100"/>
    <n v="628243"/>
    <n v="615678"/>
    <n v="1036"/>
    <n v="365"/>
    <n v="365"/>
    <n v="306"/>
    <d v="2021-03-01T00:00:00"/>
    <s v="E030321"/>
    <n v="577000"/>
    <n v="577000"/>
    <s v="SWD"/>
    <n v="30"/>
    <s v="N"/>
    <s v="Y"/>
    <n v="643000"/>
    <n v="95800"/>
    <n v="547200"/>
    <n v="0"/>
    <n v="1.1143847487001732"/>
    <n v="639667.58052791201"/>
    <n v="757096.26844973816"/>
    <n v="0.17744365233240772"/>
    <n v="-117428.68671000001"/>
    <n v="87214.824999999997"/>
    <n v="87214.824999999997"/>
    <n v="-28517.585766758784"/>
    <n v="46722.525125"/>
    <n v="106557.38887"/>
    <n v="1476.09944"/>
    <n v="138166.91800000001"/>
    <n v="54882.204975000001"/>
    <n v="0"/>
    <n v="0"/>
    <n v="172636.7"/>
    <n v="0"/>
    <n v="42091.021999999997"/>
    <n v="48651.357120000001"/>
    <n v="639667.59305324126"/>
    <n v="0"/>
    <n v="581000"/>
    <n v="58700"/>
    <n v="639700"/>
    <n v="1.1086655112651647"/>
    <n v="-5.1321928460342147E-3"/>
    <n v="0.97570000000000001"/>
    <n v="0.98329999999999995"/>
    <n v="0.9748"/>
    <n v="0.93310000000000004"/>
    <n v="0.99060000000000004"/>
    <n v="0.92691499999999993"/>
    <n v="0.8212360076044285"/>
    <n v="682800"/>
    <n v="0"/>
    <n v="682800"/>
    <n v="54400"/>
    <n v="737200"/>
    <n v="0.24780701754385964"/>
    <n v="-0.43215031315240082"/>
    <n v="0.14650077760497668"/>
    <n v="1.0741270594280763"/>
  </r>
  <r>
    <n v="2025"/>
    <n v="18131923410"/>
    <n v="-0.75502258427803282"/>
    <n v="0.47"/>
    <n v="20527"/>
    <n v="1"/>
    <s v="RES"/>
    <s v="HE"/>
    <x v="0"/>
    <s v="R1"/>
    <n v="11"/>
    <n v="259"/>
    <s v="CP"/>
    <s v="E"/>
    <s v="EX"/>
    <n v="2015"/>
    <n v="2015"/>
    <x v="0"/>
    <n v="9"/>
    <n v="9"/>
    <n v="1"/>
    <n v="2280"/>
    <n v="0"/>
    <n v="0"/>
    <n v="1430"/>
    <n v="1246"/>
    <n v="184"/>
    <n v="3526"/>
    <n v="4000"/>
    <n v="3"/>
    <s v="S"/>
    <s v="FD"/>
    <s v="G"/>
    <s v="Y"/>
    <n v="0"/>
    <n v="0"/>
    <n v="1"/>
    <n v="0"/>
    <n v="1"/>
    <n v="15"/>
    <n v="1228"/>
    <n v="0"/>
    <n v="1228"/>
    <n v="0"/>
    <n v="336"/>
    <n v="0"/>
    <n v="0"/>
    <n v="100"/>
    <n v="100"/>
    <n v="943900"/>
    <n v="925022"/>
    <n v="395"/>
    <n v="365"/>
    <n v="30"/>
    <n v="0"/>
    <d v="2022-12-02T00:00:00"/>
    <s v="E038946"/>
    <n v="960000"/>
    <n v="960000"/>
    <s v="SWD"/>
    <n v="30"/>
    <s v="N"/>
    <s v="Y"/>
    <n v="653000"/>
    <n v="117600"/>
    <n v="535400"/>
    <n v="0"/>
    <n v="0.6802083333333333"/>
    <n v="934312.27501255681"/>
    <n v="989187.0550312968"/>
    <n v="0.51483469376921409"/>
    <n v="-54874.793620000004"/>
    <n v="87214.824999999997"/>
    <n v="87214.824999999997"/>
    <n v="-18896.588965832627"/>
    <n v="243340.36395999999"/>
    <n v="133581.64413"/>
    <n v="1660.61187"/>
    <n v="157510.28652000002"/>
    <n v="0"/>
    <n v="0"/>
    <n v="40910.380939999995"/>
    <n v="152326.5"/>
    <n v="0"/>
    <n v="42091.021999999997"/>
    <n v="62233.194316000001"/>
    <n v="934312.27115016733"/>
    <n v="0"/>
    <n v="866000"/>
    <n v="68300"/>
    <n v="934300"/>
    <n v="0.9732291666666667"/>
    <n v="0.430781010719755"/>
    <n v="0.97570000000000001"/>
    <n v="0.99519999999999997"/>
    <n v="0.98370000000000002"/>
    <n v="1.034"/>
    <n v="0.99060000000000004"/>
    <n v="0.92691499999999993"/>
    <n v="0.92946236936164883"/>
    <n v="914700"/>
    <n v="0"/>
    <n v="914700"/>
    <n v="63300"/>
    <n v="978000"/>
    <n v="0.70844228614120286"/>
    <n v="-0.46173469387755101"/>
    <n v="0.49770290964777947"/>
    <n v="0.96158875664583332"/>
  </r>
  <r>
    <n v="2025"/>
    <n v="18131634515"/>
    <n v="-0.96758402626170559"/>
    <n v="0.38"/>
    <n v="16362"/>
    <n v="5"/>
    <s v="RES"/>
    <s v="HE"/>
    <x v="0"/>
    <s v="R1"/>
    <n v="11"/>
    <n v="259"/>
    <s v="CP"/>
    <s v="V+"/>
    <s v="EX"/>
    <n v="2015"/>
    <n v="2015"/>
    <x v="0"/>
    <n v="9"/>
    <n v="9"/>
    <n v="1"/>
    <n v="2475"/>
    <n v="0"/>
    <n v="274"/>
    <n v="0"/>
    <n v="0"/>
    <n v="0"/>
    <n v="2749"/>
    <n v="3000"/>
    <n v="3"/>
    <m/>
    <s v="FD"/>
    <s v="G"/>
    <s v="Y"/>
    <n v="0"/>
    <n v="0"/>
    <n v="1"/>
    <n v="1"/>
    <n v="1"/>
    <n v="16"/>
    <n v="814"/>
    <n v="0"/>
    <n v="814"/>
    <n v="0"/>
    <n v="0"/>
    <n v="0"/>
    <n v="0"/>
    <n v="100"/>
    <n v="100"/>
    <n v="708852"/>
    <n v="694675"/>
    <n v="1035"/>
    <n v="365"/>
    <n v="365"/>
    <n v="305"/>
    <d v="2021-03-02T00:00:00"/>
    <s v="E030337"/>
    <n v="750000"/>
    <n v="715817"/>
    <s v="SWD"/>
    <n v="30"/>
    <s v="N"/>
    <s v="Y"/>
    <n v="673900"/>
    <n v="105600"/>
    <n v="568300"/>
    <n v="34183"/>
    <n v="0.8985333333333333"/>
    <n v="739739.06350865995"/>
    <n v="856859.16538226337"/>
    <n v="0.27149304849720041"/>
    <n v="-117120.10071000001"/>
    <n v="87214.824999999997"/>
    <n v="87214.824999999997"/>
    <n v="-24216.544001337923"/>
    <n v="141724.10243"/>
    <n v="133581.64413"/>
    <n v="1660.61187"/>
    <n v="170981.561025"/>
    <n v="0"/>
    <n v="12873.232126000001"/>
    <n v="0"/>
    <n v="162481.60000000001"/>
    <n v="0"/>
    <n v="42091.021999999997"/>
    <n v="41252.296558000002"/>
    <n v="739739.07542766212"/>
    <n v="34200"/>
    <n v="676700"/>
    <n v="63000"/>
    <n v="773900"/>
    <n v="1.0318666666666667"/>
    <n v="0.14838996883810654"/>
    <n v="0.97570000000000001"/>
    <n v="1.0051000000000001"/>
    <n v="0.98370000000000002"/>
    <n v="0.93310000000000004"/>
    <n v="0.99060000000000004"/>
    <n v="0.92691499999999993"/>
    <n v="0.84710718962557663"/>
    <n v="780500"/>
    <n v="31700"/>
    <n v="812200"/>
    <n v="58400"/>
    <n v="870600"/>
    <n v="0.4291747316558156"/>
    <n v="-0.44696969696969696"/>
    <n v="0.29188306870455555"/>
    <n v="1.00463986572"/>
  </r>
  <r>
    <n v="2025"/>
    <n v="18131743488"/>
    <n v="-1.2729656758128873"/>
    <n v="0.28000000000000003"/>
    <n v="12287"/>
    <n v="1"/>
    <s v="RES"/>
    <n v="3041"/>
    <x v="0"/>
    <s v="SR"/>
    <n v="11"/>
    <n v="259"/>
    <s v="CP"/>
    <s v="G+"/>
    <s v="EX"/>
    <n v="2014"/>
    <n v="2014"/>
    <x v="0"/>
    <n v="10"/>
    <n v="10"/>
    <n v="1"/>
    <n v="2498"/>
    <n v="0"/>
    <n v="0"/>
    <n v="0"/>
    <n v="0"/>
    <n v="0"/>
    <n v="2498"/>
    <n v="2500"/>
    <n v="3"/>
    <s v="S"/>
    <s v="FD"/>
    <s v="G"/>
    <s v="Y"/>
    <n v="0"/>
    <n v="0"/>
    <n v="1"/>
    <n v="0"/>
    <n v="0"/>
    <n v="12"/>
    <n v="728"/>
    <n v="0"/>
    <n v="728"/>
    <n v="0"/>
    <n v="0"/>
    <n v="0"/>
    <n v="0"/>
    <n v="100"/>
    <n v="100"/>
    <n v="513473"/>
    <n v="503204"/>
    <n v="452"/>
    <n v="365"/>
    <n v="87"/>
    <n v="0"/>
    <d v="2022-10-06T00:00:00"/>
    <s v="E038424"/>
    <n v="563000"/>
    <n v="563000"/>
    <s v="SWD"/>
    <n v="30"/>
    <s v="N"/>
    <s v="Y"/>
    <n v="594600"/>
    <n v="88200"/>
    <n v="506400"/>
    <n v="0"/>
    <n v="1.0561278863232682"/>
    <n v="621151.37847489526"/>
    <n v="670602.91938132537"/>
    <n v="0.12782192966923203"/>
    <n v="-49451.554498000005"/>
    <n v="87214.824999999997"/>
    <n v="87214.824999999997"/>
    <n v="-31859.58889753087"/>
    <n v="19189.450408000001"/>
    <n v="133581.64413"/>
    <n v="1845.1242999999999"/>
    <n v="172570.48058200002"/>
    <n v="0"/>
    <n v="0"/>
    <n v="0"/>
    <n v="121861.20000000001"/>
    <n v="0"/>
    <n v="42091.021999999997"/>
    <n v="36893.945815999999"/>
    <n v="621151.37384046905"/>
    <n v="0"/>
    <n v="565800"/>
    <n v="55400"/>
    <n v="621200"/>
    <n v="1.1033747779751333"/>
    <n v="4.4735956945845944E-2"/>
    <n v="0.97570000000000001"/>
    <n v="0.9819"/>
    <n v="0.98370000000000002"/>
    <n v="0.93440000000000001"/>
    <n v="0.99060000000000004"/>
    <n v="0.92691499999999993"/>
    <n v="0.82870697674268223"/>
    <n v="600300"/>
    <n v="0"/>
    <n v="600300"/>
    <n v="51300"/>
    <n v="651600"/>
    <n v="0.1854265402843602"/>
    <n v="-0.41836734693877553"/>
    <n v="9.5862764883955606E-2"/>
    <n v="1.0695354271793962"/>
  </r>
  <r>
    <n v="2025"/>
    <n v="18131734449"/>
    <n v="-1.0788096613719298"/>
    <n v="0.34"/>
    <n v="0"/>
    <n v="1"/>
    <s v="RES"/>
    <n v="3041"/>
    <x v="0"/>
    <s v="SR"/>
    <n v="11"/>
    <n v="259"/>
    <s v="CP"/>
    <s v="V"/>
    <s v="EX"/>
    <n v="2014"/>
    <n v="2014"/>
    <x v="0"/>
    <n v="10"/>
    <n v="10"/>
    <n v="1"/>
    <n v="2986"/>
    <n v="0"/>
    <n v="1260"/>
    <n v="0"/>
    <n v="0"/>
    <n v="0"/>
    <n v="4246"/>
    <n v="4500"/>
    <n v="3"/>
    <s v="S"/>
    <s v="FD"/>
    <s v="G"/>
    <s v="Y"/>
    <n v="0"/>
    <n v="1"/>
    <n v="0"/>
    <n v="0"/>
    <n v="1"/>
    <n v="13"/>
    <n v="1260"/>
    <n v="0"/>
    <n v="1260"/>
    <n v="0"/>
    <n v="0"/>
    <n v="782"/>
    <n v="0"/>
    <n v="100"/>
    <n v="100"/>
    <n v="819130"/>
    <n v="802747"/>
    <n v="899"/>
    <n v="365"/>
    <n v="365"/>
    <n v="169"/>
    <d v="2021-07-16T00:00:00"/>
    <s v="E032239"/>
    <n v="780000"/>
    <n v="731687"/>
    <s v="SWD"/>
    <n v="30"/>
    <s v="N"/>
    <s v="Y"/>
    <n v="817600"/>
    <n v="99200"/>
    <n v="718400"/>
    <n v="48313"/>
    <n v="1.0482051282051281"/>
    <n v="741052.36528736702"/>
    <n v="816204.76460268802"/>
    <n v="-1.7065012198042751E-3"/>
    <n v="-75152.404710000003"/>
    <n v="87214.824999999997"/>
    <n v="87214.824999999997"/>
    <n v="-27000.28206812881"/>
    <n v="46722.525125"/>
    <n v="133581.64413"/>
    <n v="1845.1242999999999"/>
    <n v="206283.20857400002"/>
    <n v="0"/>
    <n v="59198.074740000004"/>
    <n v="0"/>
    <n v="132016.30000000002"/>
    <n v="25273.623"/>
    <n v="0"/>
    <n v="63854.906219999997"/>
    <n v="741052.36931087123"/>
    <n v="48300"/>
    <n v="680800"/>
    <n v="60200"/>
    <n v="789300"/>
    <n v="1.0119230769230769"/>
    <n v="-3.4613502935420745E-2"/>
    <n v="0.97570000000000001"/>
    <n v="0.98329999999999995"/>
    <n v="0.98370000000000002"/>
    <n v="1.0087999999999999"/>
    <n v="0.99060000000000004"/>
    <n v="0.92691499999999993"/>
    <n v="0.89596700803498019"/>
    <n v="746900"/>
    <n v="44800"/>
    <n v="791700"/>
    <n v="55800"/>
    <n v="847500"/>
    <n v="0.10203229398663698"/>
    <n v="-0.4375"/>
    <n v="3.657045009784736E-2"/>
    <n v="0.9901892247307692"/>
  </r>
  <r>
    <n v="2025"/>
    <n v="17132413434"/>
    <n v="-9.0407446521490707E-3"/>
    <n v="0.99099999999999999"/>
    <n v="43295"/>
    <n v="1"/>
    <s v="RES"/>
    <s v="HE"/>
    <x v="0"/>
    <s v="R1"/>
    <n v="11"/>
    <n v="331"/>
    <s v="CU"/>
    <s v="V+"/>
    <s v="EX"/>
    <n v="2013"/>
    <n v="2013"/>
    <x v="1"/>
    <n v="11"/>
    <n v="11"/>
    <n v="1"/>
    <n v="2265"/>
    <n v="0"/>
    <n v="0"/>
    <n v="0"/>
    <n v="0"/>
    <n v="0"/>
    <n v="2265"/>
    <n v="2500"/>
    <n v="2"/>
    <m/>
    <s v="FD"/>
    <s v="G"/>
    <s v="Y"/>
    <n v="0"/>
    <n v="0"/>
    <n v="1"/>
    <n v="0"/>
    <n v="0"/>
    <n v="11"/>
    <n v="825"/>
    <n v="0"/>
    <n v="825"/>
    <n v="0"/>
    <n v="0"/>
    <n v="181"/>
    <n v="0"/>
    <n v="100"/>
    <n v="100"/>
    <n v="600229"/>
    <n v="588224"/>
    <n v="539"/>
    <n v="365"/>
    <n v="174"/>
    <n v="0"/>
    <d v="2022-07-11T00:00:00"/>
    <s v="E037233"/>
    <n v="805000"/>
    <n v="805000"/>
    <s v="SWD"/>
    <n v="30"/>
    <s v="N"/>
    <s v="Y"/>
    <n v="633100"/>
    <n v="160000"/>
    <n v="473100"/>
    <n v="0"/>
    <n v="0.7864596273291925"/>
    <n v="762445.70612487674"/>
    <n v="803619.67154409701"/>
    <n v="0.26934081747606542"/>
    <n v="-41173.978996000005"/>
    <n v="87214.824999999997"/>
    <n v="87214.824999999997"/>
    <n v="-226.27036487931053"/>
    <n v="141724.10243"/>
    <n v="133581.64413"/>
    <n v="2029.6367299999999"/>
    <n v="156474.03463500002"/>
    <n v="0"/>
    <n v="0"/>
    <n v="0"/>
    <n v="111706.1"/>
    <n v="0"/>
    <n v="42091.021999999997"/>
    <n v="41809.760025000003"/>
    <n v="762445.70058912074"/>
    <n v="0"/>
    <n v="675500"/>
    <n v="87000"/>
    <n v="762500"/>
    <n v="0.94720496894409933"/>
    <n v="0.20439109145474649"/>
    <n v="0.97570000000000001"/>
    <n v="1.0051000000000001"/>
    <n v="0.98370000000000002"/>
    <n v="0.93440000000000001"/>
    <n v="0.97499999999999998"/>
    <n v="0.92691499999999993"/>
    <n v="0.83492852753346392"/>
    <n v="702200"/>
    <n v="0"/>
    <n v="702200"/>
    <n v="80600"/>
    <n v="782800"/>
    <n v="0.48425280067638976"/>
    <n v="-0.49625000000000002"/>
    <n v="0.23645553625019744"/>
    <n v="0.92127456025341614"/>
  </r>
  <r>
    <n v="2025"/>
    <n v="18131643472"/>
    <n v="-0.86750056770472306"/>
    <n v="0.42"/>
    <n v="18122"/>
    <n v="5"/>
    <s v="RES"/>
    <s v="HE"/>
    <x v="0"/>
    <s v="R1"/>
    <n v="11"/>
    <n v="259"/>
    <s v="CU"/>
    <s v="E"/>
    <s v="EX"/>
    <n v="2011"/>
    <n v="2011"/>
    <x v="1"/>
    <n v="13"/>
    <n v="13"/>
    <n v="1"/>
    <n v="2482"/>
    <n v="0"/>
    <n v="0"/>
    <n v="2340"/>
    <n v="2156"/>
    <n v="184"/>
    <n v="4638"/>
    <n v="5000"/>
    <n v="3"/>
    <m/>
    <s v="HP"/>
    <s v="E"/>
    <s v="N"/>
    <n v="0"/>
    <n v="0"/>
    <n v="1"/>
    <n v="0"/>
    <n v="1"/>
    <n v="17"/>
    <n v="704"/>
    <n v="0"/>
    <n v="704"/>
    <n v="0"/>
    <n v="378"/>
    <n v="192"/>
    <n v="0"/>
    <n v="100"/>
    <n v="100"/>
    <n v="1124206"/>
    <n v="1101722"/>
    <n v="987"/>
    <n v="365"/>
    <n v="365"/>
    <n v="257"/>
    <d v="2021-04-19T00:00:00"/>
    <s v="E030889"/>
    <n v="989000"/>
    <n v="989000"/>
    <s v="SWD"/>
    <n v="30"/>
    <s v="N"/>
    <s v="Y"/>
    <n v="997300"/>
    <n v="111000"/>
    <n v="886300"/>
    <n v="0"/>
    <n v="1.0083923154701719"/>
    <n v="918545.4560292064"/>
    <n v="1020853.427588122"/>
    <n v="2.3617194011954241E-2"/>
    <n v="-102307.97271"/>
    <n v="87214.824999999997"/>
    <n v="87214.824999999997"/>
    <n v="-21711.670613426384"/>
    <n v="243340.36395999999"/>
    <n v="133581.64413"/>
    <n v="2398.6615899999997"/>
    <n v="171465.14523800003"/>
    <n v="0"/>
    <n v="0"/>
    <n v="66944.259720000002"/>
    <n v="172636.7"/>
    <n v="0"/>
    <n v="42091.021999999997"/>
    <n v="35677.661888000002"/>
    <n v="918545.46520257345"/>
    <n v="0"/>
    <n v="853000"/>
    <n v="65500"/>
    <n v="918500"/>
    <n v="0.92871587462082916"/>
    <n v="-7.9013336007219492E-2"/>
    <n v="0.97570000000000001"/>
    <n v="0.99519999999999997"/>
    <n v="0.98370000000000002"/>
    <n v="1.0048999999999999"/>
    <n v="0.97499999999999998"/>
    <n v="0.92691499999999993"/>
    <n v="0.88907911993359701"/>
    <n v="945700"/>
    <n v="0"/>
    <n v="945700"/>
    <n v="60700"/>
    <n v="1006400"/>
    <n v="6.7020196321787212E-2"/>
    <n v="-0.45315315315315313"/>
    <n v="9.1246365186002203E-3"/>
    <n v="0.91414765145601617"/>
  </r>
  <r>
    <n v="2025"/>
    <n v="18131923405"/>
    <n v="-0.4780358009429998"/>
    <n v="0.62"/>
    <n v="27084"/>
    <n v="1"/>
    <s v="RES"/>
    <s v="HE"/>
    <x v="0"/>
    <s v="R1"/>
    <n v="11"/>
    <n v="259"/>
    <s v="CP"/>
    <s v="V+"/>
    <s v="EX"/>
    <n v="2010"/>
    <n v="2010"/>
    <x v="1"/>
    <n v="14"/>
    <n v="14"/>
    <n v="1"/>
    <n v="2352"/>
    <n v="0"/>
    <n v="0"/>
    <n v="0"/>
    <n v="0"/>
    <n v="0"/>
    <n v="2352"/>
    <n v="2500"/>
    <n v="3"/>
    <s v="S"/>
    <s v="HP"/>
    <s v="G"/>
    <s v="N"/>
    <n v="0"/>
    <n v="1"/>
    <n v="0"/>
    <n v="0"/>
    <n v="1"/>
    <n v="13"/>
    <n v="1132"/>
    <n v="0"/>
    <n v="1132"/>
    <n v="0"/>
    <n v="0"/>
    <n v="378"/>
    <n v="0"/>
    <n v="100"/>
    <n v="100"/>
    <n v="667868"/>
    <n v="654511"/>
    <n v="559"/>
    <n v="365"/>
    <n v="194"/>
    <n v="0"/>
    <d v="2022-06-21T00:00:00"/>
    <s v="E036998"/>
    <n v="725000"/>
    <n v="725000"/>
    <s v="SWD"/>
    <n v="30"/>
    <s v="N"/>
    <s v="Y"/>
    <n v="647100"/>
    <n v="133400"/>
    <n v="513700"/>
    <n v="0"/>
    <n v="0.89255172413793105"/>
    <n v="778225.55776831822"/>
    <n v="817496.6322709386"/>
    <n v="0.26332349292371904"/>
    <n v="-39271.088076"/>
    <n v="87214.824999999997"/>
    <n v="87214.824999999997"/>
    <n v="-11964.206408488055"/>
    <n v="141724.10243"/>
    <n v="133581.64413"/>
    <n v="2583.1740199999999"/>
    <n v="162484.295568"/>
    <n v="0"/>
    <n v="0"/>
    <n v="0"/>
    <n v="132016.30000000002"/>
    <n v="25273.623"/>
    <n v="0"/>
    <n v="57368.058603999998"/>
    <n v="778225.553267512"/>
    <n v="0"/>
    <n v="703000"/>
    <n v="75300"/>
    <n v="778300"/>
    <n v="1.0735172413793104"/>
    <n v="0.20275073404419719"/>
    <n v="0.97570000000000001"/>
    <n v="1.0051000000000001"/>
    <n v="0.98370000000000002"/>
    <n v="0.93440000000000001"/>
    <n v="0.97499999999999998"/>
    <n v="0.92691499999999993"/>
    <n v="0.83492852753346392"/>
    <n v="727800"/>
    <n v="0"/>
    <n v="727800"/>
    <n v="69800"/>
    <n v="797600"/>
    <n v="0.41678022191940822"/>
    <n v="-0.47676161919040477"/>
    <n v="0.2325761087930768"/>
    <n v="1.0459709129986208"/>
  </r>
  <r>
    <n v="2025"/>
    <n v="18131923409"/>
    <n v="-0.6348782724359695"/>
    <n v="0.53"/>
    <n v="23215"/>
    <n v="1"/>
    <s v="RES"/>
    <s v="HE"/>
    <x v="0"/>
    <s v="R1"/>
    <n v="11"/>
    <n v="259"/>
    <s v="CP"/>
    <s v="V+"/>
    <s v="EX"/>
    <n v="2010"/>
    <n v="2010"/>
    <x v="1"/>
    <n v="14"/>
    <n v="14"/>
    <n v="1"/>
    <n v="2508"/>
    <n v="0"/>
    <n v="0"/>
    <n v="1300"/>
    <n v="1300"/>
    <n v="0"/>
    <n v="3808"/>
    <n v="4000"/>
    <n v="3"/>
    <s v="S"/>
    <s v="HP"/>
    <s v="G"/>
    <s v="N"/>
    <n v="0"/>
    <n v="0"/>
    <n v="1"/>
    <n v="1"/>
    <n v="1"/>
    <n v="18"/>
    <n v="1768"/>
    <n v="0"/>
    <n v="1768"/>
    <n v="0"/>
    <n v="0"/>
    <n v="2648"/>
    <n v="0"/>
    <n v="100"/>
    <n v="100"/>
    <n v="996365"/>
    <n v="936583"/>
    <n v="530"/>
    <n v="365"/>
    <n v="165"/>
    <n v="0"/>
    <d v="2022-07-20T00:00:00"/>
    <s v="E037374"/>
    <n v="1000000"/>
    <n v="920286"/>
    <s v="SWD"/>
    <n v="30"/>
    <s v="N"/>
    <s v="Y"/>
    <n v="927700"/>
    <n v="124500"/>
    <n v="803200"/>
    <n v="79714"/>
    <n v="0.92769999999999997"/>
    <n v="919333.63260081236"/>
    <n v="961363.89893250261"/>
    <n v="3.6287484027705728E-2"/>
    <n v="-42030.279910000005"/>
    <n v="87214.824999999997"/>
    <n v="87214.824999999997"/>
    <n v="-15889.63563127349"/>
    <n v="141724.10243"/>
    <n v="133581.64413"/>
    <n v="2583.1740199999999"/>
    <n v="173261.315172"/>
    <n v="0"/>
    <n v="0"/>
    <n v="37191.255399999995"/>
    <n v="182791.80000000002"/>
    <n v="0"/>
    <n v="42091.021999999997"/>
    <n v="89599.582695999998"/>
    <n v="919333.63030672655"/>
    <n v="79700"/>
    <n v="848000"/>
    <n v="71300"/>
    <n v="999000"/>
    <n v="0.999"/>
    <n v="7.6856742481405629E-2"/>
    <n v="0.97570000000000001"/>
    <n v="1.0051000000000001"/>
    <n v="0.98370000000000002"/>
    <n v="1.034"/>
    <n v="0.97499999999999998"/>
    <n v="0.92691499999999993"/>
    <n v="0.92392561801113193"/>
    <n v="883400"/>
    <n v="73900"/>
    <n v="957300"/>
    <n v="66100"/>
    <n v="1023400"/>
    <n v="0.19185756972111553"/>
    <n v="-0.46907630522088356"/>
    <n v="0.10315834860407459"/>
    <n v="0.98136972009000001"/>
  </r>
  <r>
    <n v="2025"/>
    <n v="18131743483"/>
    <n v="-1.3093333199837622"/>
    <n v="0.27"/>
    <n v="11759"/>
    <n v="1"/>
    <s v="RES"/>
    <n v="3041"/>
    <x v="0"/>
    <s v="SR"/>
    <n v="11"/>
    <n v="331"/>
    <s v="CP"/>
    <s v="V"/>
    <s v="VG"/>
    <n v="2009"/>
    <n v="2009"/>
    <x v="1"/>
    <n v="15"/>
    <n v="15"/>
    <n v="1"/>
    <n v="2571"/>
    <n v="0"/>
    <n v="475"/>
    <n v="0"/>
    <n v="0"/>
    <n v="0"/>
    <n v="3046"/>
    <n v="3500"/>
    <n v="3"/>
    <m/>
    <s v="HP"/>
    <s v="E"/>
    <m/>
    <n v="0"/>
    <n v="0"/>
    <n v="1"/>
    <n v="0"/>
    <n v="1"/>
    <n v="13"/>
    <n v="788"/>
    <n v="0"/>
    <n v="788"/>
    <n v="0"/>
    <n v="0"/>
    <n v="0"/>
    <n v="0"/>
    <n v="100"/>
    <n v="100"/>
    <n v="768273"/>
    <n v="491695"/>
    <n v="279"/>
    <n v="279"/>
    <n v="0"/>
    <n v="0"/>
    <d v="2023-03-28T00:00:00"/>
    <s v="E039905"/>
    <n v="700000"/>
    <n v="700000"/>
    <s v="SWD"/>
    <n v="30"/>
    <s v="N"/>
    <s v="Y"/>
    <n v="624900"/>
    <n v="86200"/>
    <n v="538700"/>
    <n v="0"/>
    <n v="0.89271428571428568"/>
    <n v="667552.54592151777"/>
    <n v="711679.73352103983"/>
    <n v="0.13886979280051182"/>
    <n v="-44127.198000000004"/>
    <n v="87214.824999999997"/>
    <n v="87214.824999999997"/>
    <n v="-32769.792695222328"/>
    <n v="46722.525125"/>
    <n v="106557.38887"/>
    <n v="2767.6864500000001"/>
    <n v="177613.57308900001"/>
    <n v="0"/>
    <n v="22316.734525"/>
    <n v="0"/>
    <n v="132016.30000000002"/>
    <n v="0"/>
    <n v="42091.021999999997"/>
    <n v="39934.655636000003"/>
    <n v="667552.54499977769"/>
    <n v="0"/>
    <n v="613100"/>
    <n v="54400"/>
    <n v="667500"/>
    <n v="0.95357142857142863"/>
    <n v="6.8170907345175225E-2"/>
    <n v="0.97570000000000001"/>
    <n v="0.98329999999999995"/>
    <n v="0.9748"/>
    <n v="0.99619999999999997"/>
    <n v="0.97499999999999998"/>
    <n v="0.92691499999999993"/>
    <n v="0.8629638892873509"/>
    <n v="645300"/>
    <n v="0"/>
    <n v="645300"/>
    <n v="50500"/>
    <n v="695800"/>
    <n v="0.19788379431965844"/>
    <n v="-0.41415313225058004"/>
    <n v="0.11345815330452873"/>
    <n v="0.93096114571428579"/>
  </r>
  <r>
    <n v="2025"/>
    <n v="18131743470"/>
    <n v="-1.1394342831883648"/>
    <n v="0.32"/>
    <n v="13867"/>
    <n v="1"/>
    <s v="RES"/>
    <s v="HE"/>
    <x v="0"/>
    <s v="SR"/>
    <n v="11"/>
    <n v="259"/>
    <s v="CP"/>
    <s v="V+"/>
    <s v="EX"/>
    <n v="2009"/>
    <n v="2009"/>
    <x v="1"/>
    <n v="15"/>
    <n v="15"/>
    <n v="1"/>
    <n v="2725"/>
    <n v="0"/>
    <n v="0"/>
    <n v="0"/>
    <n v="0"/>
    <n v="0"/>
    <n v="2725"/>
    <n v="3000"/>
    <n v="3"/>
    <m/>
    <s v="FD"/>
    <s v="G"/>
    <s v="Y"/>
    <n v="0"/>
    <n v="0"/>
    <n v="1"/>
    <n v="0"/>
    <n v="1"/>
    <n v="13"/>
    <n v="826"/>
    <n v="0"/>
    <n v="826"/>
    <n v="0"/>
    <n v="0"/>
    <n v="0"/>
    <n v="0"/>
    <n v="100"/>
    <n v="100"/>
    <n v="722028"/>
    <n v="700367"/>
    <n v="831"/>
    <n v="365"/>
    <n v="365"/>
    <n v="101"/>
    <d v="2021-09-22T00:00:00"/>
    <s v="E033238"/>
    <n v="650000"/>
    <n v="650000"/>
    <s v="SWD"/>
    <n v="30"/>
    <s v="N"/>
    <s v="Y"/>
    <n v="600800"/>
    <n v="95800"/>
    <n v="505000"/>
    <n v="0"/>
    <n v="0.92430769230769227"/>
    <n v="774037.12607156113"/>
    <n v="828205.67410774087"/>
    <n v="0.37850478380116653"/>
    <n v="-54168.556710000004"/>
    <n v="87214.824999999997"/>
    <n v="87214.824999999997"/>
    <n v="-28517.585766758784"/>
    <n v="141724.10243"/>
    <n v="133581.64413"/>
    <n v="2767.6864500000001"/>
    <n v="188252.42577500001"/>
    <n v="0"/>
    <n v="0"/>
    <n v="0"/>
    <n v="132016.30000000002"/>
    <n v="0"/>
    <n v="42091.021999999997"/>
    <n v="41860.438521999997"/>
    <n v="774037.12683024118"/>
    <n v="0"/>
    <n v="715300"/>
    <n v="58700"/>
    <n v="774000"/>
    <n v="1.1907692307692308"/>
    <n v="0.28828229027962715"/>
    <n v="0.97570000000000001"/>
    <n v="1.0051000000000001"/>
    <n v="0.98370000000000002"/>
    <n v="0.93310000000000004"/>
    <n v="0.97499999999999998"/>
    <n v="0.92691499999999993"/>
    <n v="0.83376691892281152"/>
    <n v="755000"/>
    <n v="0"/>
    <n v="755000"/>
    <n v="54400"/>
    <n v="809400"/>
    <n v="0.49504950495049505"/>
    <n v="-0.43215031315240082"/>
    <n v="0.34720372836218377"/>
    <n v="1.1618945281384614"/>
  </r>
  <r>
    <n v="2025"/>
    <n v="18131842408"/>
    <n v="1.0612565021243408"/>
    <n v="2.89"/>
    <n v="0"/>
    <n v="1"/>
    <s v="RES"/>
    <s v="HE"/>
    <x v="0"/>
    <s v="R1"/>
    <n v="11"/>
    <n v="331"/>
    <s v="CP"/>
    <s v="E"/>
    <s v="EX"/>
    <n v="2008"/>
    <n v="2008"/>
    <x v="1"/>
    <n v="16"/>
    <n v="16"/>
    <n v="2"/>
    <n v="1163"/>
    <n v="1036"/>
    <n v="0"/>
    <n v="1141"/>
    <n v="1141"/>
    <n v="0"/>
    <n v="3340"/>
    <n v="3500"/>
    <n v="3"/>
    <s v="S"/>
    <s v="HP"/>
    <s v="E"/>
    <m/>
    <n v="0"/>
    <n v="0"/>
    <n v="2"/>
    <n v="2"/>
    <n v="2"/>
    <n v="18"/>
    <n v="1008"/>
    <n v="0"/>
    <n v="1008"/>
    <n v="0"/>
    <n v="779"/>
    <n v="0"/>
    <n v="0"/>
    <n v="100"/>
    <n v="100"/>
    <n v="919319"/>
    <n v="891739"/>
    <n v="424"/>
    <n v="365"/>
    <n v="59"/>
    <n v="0"/>
    <d v="2022-11-03T00:00:00"/>
    <s v="E038694"/>
    <n v="950000"/>
    <n v="950000"/>
    <s v="SWD"/>
    <n v="30"/>
    <s v="N"/>
    <s v="Y"/>
    <n v="799300"/>
    <n v="220800"/>
    <n v="578500"/>
    <n v="0"/>
    <n v="0.84136842105263154"/>
    <n v="1023180.3384066868"/>
    <n v="1075295.9265963568"/>
    <n v="0.34529704315820942"/>
    <n v="-52115.601786000007"/>
    <n v="87214.824999999997"/>
    <n v="87214.824999999997"/>
    <n v="26560.964301666674"/>
    <n v="243340.36395999999"/>
    <n v="133581.64413"/>
    <n v="2952.1988799999999"/>
    <n v="80344.062817000013"/>
    <n v="63386.8053"/>
    <n v="0"/>
    <n v="32642.478777999997"/>
    <n v="182791.80000000002"/>
    <n v="0"/>
    <n v="84182.043999999994"/>
    <n v="51083.924976000002"/>
    <n v="1023180.3353566667"/>
    <n v="0"/>
    <n v="909400"/>
    <n v="113800"/>
    <n v="1023200"/>
    <n v="1.0770526315789473"/>
    <n v="0.28012010509195545"/>
    <n v="0.97570000000000001"/>
    <n v="0.99519999999999997"/>
    <n v="0.98370000000000002"/>
    <n v="0.99619999999999997"/>
    <n v="0.97499999999999998"/>
    <n v="0.92691499999999993"/>
    <n v="0.88138184822156385"/>
    <n v="951200"/>
    <n v="0"/>
    <n v="951200"/>
    <n v="105500"/>
    <n v="1056700"/>
    <n v="0.64425237683664649"/>
    <n v="-0.52219202898550721"/>
    <n v="0.3220317778055799"/>
    <n v="1.0574572612778947"/>
  </r>
  <r>
    <n v="2025"/>
    <n v="18131734436"/>
    <n v="-0.61618613942381695"/>
    <n v="0.54"/>
    <n v="23417"/>
    <n v="1"/>
    <s v="RES"/>
    <s v="HE"/>
    <x v="0"/>
    <s v="SR"/>
    <n v="11"/>
    <n v="259"/>
    <s v="CU"/>
    <s v="E+"/>
    <s v="EX"/>
    <n v="2008"/>
    <n v="2008"/>
    <x v="1"/>
    <n v="16"/>
    <n v="16"/>
    <n v="2"/>
    <n v="4637"/>
    <n v="928"/>
    <n v="0"/>
    <n v="0"/>
    <n v="0"/>
    <n v="0"/>
    <n v="5565"/>
    <n v="6000"/>
    <n v="3"/>
    <m/>
    <s v="FD"/>
    <s v="G"/>
    <s v="Y"/>
    <n v="0"/>
    <n v="0"/>
    <n v="1"/>
    <n v="2"/>
    <n v="0"/>
    <n v="17"/>
    <n v="2125"/>
    <n v="0"/>
    <n v="2125"/>
    <n v="0"/>
    <n v="0"/>
    <n v="0"/>
    <n v="0"/>
    <n v="100"/>
    <n v="100"/>
    <n v="1864226"/>
    <n v="1808299"/>
    <n v="620"/>
    <n v="365"/>
    <n v="255"/>
    <n v="0"/>
    <d v="2022-04-21T00:00:00"/>
    <s v="E036147"/>
    <n v="1465000"/>
    <n v="1403952"/>
    <s v="SWD"/>
    <n v="30"/>
    <s v="N"/>
    <s v="Y"/>
    <n v="1360500"/>
    <n v="125000"/>
    <n v="1235500"/>
    <n v="61048"/>
    <n v="0.92866894197952221"/>
    <n v="1332448.709077734"/>
    <n v="1365915.9662847244"/>
    <n v="3.9808645973718618E-3"/>
    <n v="-33467.270770000003"/>
    <n v="87214.824999999997"/>
    <n v="87214.824999999997"/>
    <n v="-15421.81180483382"/>
    <n v="370835.85488"/>
    <n v="133581.64413"/>
    <n v="2952.1988799999999"/>
    <n v="320339.99938300002"/>
    <n v="56778.914400000001"/>
    <n v="0"/>
    <n v="0"/>
    <n v="172636.7"/>
    <n v="0"/>
    <n v="42091.021999999997"/>
    <n v="107691.806125"/>
    <n v="1332448.7072231662"/>
    <n v="61000"/>
    <n v="1260700"/>
    <n v="71800"/>
    <n v="1393500"/>
    <n v="0.95119453924914676"/>
    <n v="2.4255788313120176E-2"/>
    <n v="0.97570000000000001"/>
    <n v="0.99470000000000003"/>
    <n v="0.98370000000000002"/>
    <n v="1.0512999999999999"/>
    <n v="0.97499999999999998"/>
    <n v="0.92691499999999993"/>
    <n v="0.92966392703148448"/>
    <n v="1288000"/>
    <n v="56600"/>
    <n v="1344600"/>
    <n v="66500"/>
    <n v="1411100"/>
    <n v="8.830433023067584E-2"/>
    <n v="-0.46800000000000003"/>
    <n v="3.7192208746784271E-2"/>
    <n v="0.94036363769965869"/>
  </r>
  <r>
    <n v="2025"/>
    <n v="18131634445"/>
    <n v="-1.1394342831883648"/>
    <n v="0.32"/>
    <n v="13737"/>
    <n v="5"/>
    <s v="RES"/>
    <n v="3041"/>
    <x v="0"/>
    <s v="R1"/>
    <n v="11"/>
    <n v="259"/>
    <s v="CP"/>
    <s v="G"/>
    <s v="VG"/>
    <n v="2008"/>
    <n v="2008"/>
    <x v="1"/>
    <n v="16"/>
    <n v="16"/>
    <n v="1"/>
    <n v="1698"/>
    <n v="0"/>
    <n v="0"/>
    <n v="0"/>
    <n v="0"/>
    <n v="0"/>
    <n v="1698"/>
    <n v="2000"/>
    <n v="2"/>
    <s v="S"/>
    <s v="FD"/>
    <s v="E"/>
    <s v="Y"/>
    <n v="0"/>
    <n v="0"/>
    <n v="1"/>
    <n v="0"/>
    <n v="0"/>
    <n v="11"/>
    <n v="576"/>
    <n v="0"/>
    <n v="576"/>
    <n v="0"/>
    <n v="0"/>
    <n v="238"/>
    <n v="0"/>
    <n v="100"/>
    <n v="100"/>
    <n v="344863"/>
    <n v="331068"/>
    <n v="746"/>
    <n v="365"/>
    <n v="365"/>
    <n v="16"/>
    <d v="2021-12-16T00:00:00"/>
    <s v="E034488"/>
    <n v="515000"/>
    <n v="515000"/>
    <s v="SWD"/>
    <n v="30"/>
    <s v="N"/>
    <s v="Y"/>
    <n v="481400"/>
    <n v="95800"/>
    <n v="385600"/>
    <n v="0"/>
    <n v="0.9347572815533981"/>
    <n v="513444.86464966461"/>
    <n v="541383.59858691797"/>
    <n v="0.12460240670319479"/>
    <n v="-27938.746710000003"/>
    <n v="87214.824999999997"/>
    <n v="87214.824999999997"/>
    <n v="-28517.585766758784"/>
    <n v="-14329.694740000001"/>
    <n v="106557.38887"/>
    <n v="2952.1988799999999"/>
    <n v="117303.713382"/>
    <n v="0"/>
    <n v="0"/>
    <n v="0"/>
    <n v="111706.1"/>
    <n v="0"/>
    <n v="42091.021999999997"/>
    <n v="29190.814272"/>
    <n v="513444.86018724123"/>
    <n v="0"/>
    <n v="454700"/>
    <n v="58700"/>
    <n v="513400"/>
    <n v="0.99689320388349512"/>
    <n v="6.6472787702534272E-2"/>
    <n v="0.97570000000000001"/>
    <n v="0.98809999999999998"/>
    <n v="0.9748"/>
    <n v="0.99099999999999999"/>
    <n v="0.97499999999999998"/>
    <n v="0.92691499999999993"/>
    <n v="0.86264994759378633"/>
    <n v="470700"/>
    <n v="0"/>
    <n v="470700"/>
    <n v="54400"/>
    <n v="525100"/>
    <n v="0.22069502074688796"/>
    <n v="-0.43215031315240082"/>
    <n v="9.0776900706273367E-2"/>
    <n v="0.9653616568737865"/>
  </r>
  <r>
    <n v="2025"/>
    <n v="18131743451"/>
    <n v="-1.3862943611198906"/>
    <n v="0.25"/>
    <n v="11081"/>
    <n v="1"/>
    <s v="RES"/>
    <n v="3041"/>
    <x v="0"/>
    <s v="SR"/>
    <n v="11"/>
    <n v="259"/>
    <s v="CP"/>
    <s v="V"/>
    <s v="VG"/>
    <n v="2008"/>
    <n v="2008"/>
    <x v="1"/>
    <n v="16"/>
    <n v="16"/>
    <n v="1"/>
    <n v="3146"/>
    <n v="0"/>
    <n v="0"/>
    <n v="0"/>
    <n v="0"/>
    <n v="0"/>
    <n v="3146"/>
    <n v="3500"/>
    <n v="3"/>
    <m/>
    <s v="FD"/>
    <s v="G"/>
    <s v="Y"/>
    <n v="0"/>
    <n v="0"/>
    <n v="1"/>
    <n v="0"/>
    <n v="2"/>
    <n v="19"/>
    <n v="766"/>
    <n v="0"/>
    <n v="766"/>
    <n v="0"/>
    <n v="0"/>
    <n v="0"/>
    <n v="0"/>
    <n v="100"/>
    <n v="100"/>
    <n v="686772"/>
    <n v="666169"/>
    <n v="850"/>
    <n v="365"/>
    <n v="365"/>
    <n v="120"/>
    <d v="2021-09-03T00:00:00"/>
    <s v="E032950"/>
    <n v="615000"/>
    <n v="615000"/>
    <s v="SWD"/>
    <n v="30"/>
    <s v="N"/>
    <s v="Y"/>
    <n v="638200"/>
    <n v="81800"/>
    <n v="556400"/>
    <n v="0"/>
    <n v="1.0377235772357725"/>
    <n v="727128.31846231059"/>
    <n v="787160.00141472102"/>
    <n v="0.23340645787327016"/>
    <n v="-60031.690710000003"/>
    <n v="87214.824999999997"/>
    <n v="87214.824999999997"/>
    <n v="-34695.961780777012"/>
    <n v="46722.525125"/>
    <n v="106557.38887"/>
    <n v="2952.1988799999999"/>
    <n v="217336.56201400002"/>
    <n v="0"/>
    <n v="0"/>
    <n v="0"/>
    <n v="192946.9"/>
    <n v="0"/>
    <n v="42091.021999999997"/>
    <n v="38819.728702"/>
    <n v="727128.32310022297"/>
    <n v="0"/>
    <n v="674600"/>
    <n v="52500"/>
    <n v="727100"/>
    <n v="1.1822764227642277"/>
    <n v="0.13929802569727359"/>
    <n v="0.97570000000000001"/>
    <n v="0.98329999999999995"/>
    <n v="0.9748"/>
    <n v="0.99619999999999997"/>
    <n v="0.97499999999999998"/>
    <n v="0.92691499999999993"/>
    <n v="0.8629638892873509"/>
    <n v="722700"/>
    <n v="0"/>
    <n v="722700"/>
    <n v="48700"/>
    <n v="771400"/>
    <n v="0.29888569374550683"/>
    <n v="-0.40464547677261614"/>
    <n v="0.20871200250705108"/>
    <n v="1.1566964378699187"/>
  </r>
  <r>
    <n v="2025"/>
    <n v="18131743454"/>
    <n v="-1.5606477482646683"/>
    <n v="0.21"/>
    <n v="9361"/>
    <n v="1"/>
    <s v="RES"/>
    <n v="3041"/>
    <x v="0"/>
    <s v="SR"/>
    <n v="11"/>
    <n v="259"/>
    <s v="CP"/>
    <s v="V"/>
    <s v="VG"/>
    <n v="2008"/>
    <n v="2008"/>
    <x v="1"/>
    <n v="16"/>
    <n v="16"/>
    <n v="2"/>
    <n v="2410"/>
    <n v="1320"/>
    <n v="0"/>
    <n v="0"/>
    <n v="0"/>
    <n v="0"/>
    <n v="3730"/>
    <n v="4000"/>
    <n v="3"/>
    <m/>
    <s v="FD"/>
    <s v="E"/>
    <s v="Y"/>
    <n v="0"/>
    <n v="0"/>
    <n v="1"/>
    <n v="1"/>
    <n v="0"/>
    <n v="15"/>
    <n v="849"/>
    <n v="0"/>
    <n v="849"/>
    <n v="0"/>
    <n v="0"/>
    <n v="143"/>
    <n v="0"/>
    <n v="100"/>
    <n v="100"/>
    <n v="742448"/>
    <n v="720175"/>
    <n v="1088"/>
    <n v="365"/>
    <n v="365"/>
    <n v="358"/>
    <d v="2021-01-08T00:00:00"/>
    <s v="E029734"/>
    <n v="525000"/>
    <n v="525000"/>
    <s v="SWD"/>
    <n v="30"/>
    <s v="N"/>
    <s v="Y"/>
    <n v="644600"/>
    <n v="71900"/>
    <n v="572700"/>
    <n v="0"/>
    <n v="1.2278095238095239"/>
    <n v="642824.75149855821"/>
    <n v="776299.91392796289"/>
    <n v="0.20431261856649532"/>
    <n v="-133475.15870999999"/>
    <n v="87214.824999999997"/>
    <n v="87214.824999999997"/>
    <n v="-39059.651503814886"/>
    <n v="46722.525125"/>
    <n v="106557.38887"/>
    <n v="2952.1988799999999"/>
    <n v="166491.13619000002"/>
    <n v="80763.111000000004"/>
    <n v="0"/>
    <n v="0"/>
    <n v="152326.5"/>
    <n v="0"/>
    <n v="42091.021999999997"/>
    <n v="43026.043953"/>
    <n v="642824.76580418518"/>
    <n v="0"/>
    <n v="594700"/>
    <n v="48200"/>
    <n v="642900"/>
    <n v="1.2245714285714286"/>
    <n v="-2.6372944461681663E-3"/>
    <n v="0.97570000000000001"/>
    <n v="0.98329999999999995"/>
    <n v="0.9748"/>
    <n v="1.034"/>
    <n v="0.97499999999999998"/>
    <n v="0.92691499999999993"/>
    <n v="0.89570835326553"/>
    <n v="719000"/>
    <n v="0"/>
    <n v="719000"/>
    <n v="44600"/>
    <n v="763600"/>
    <n v="0.25545660904487516"/>
    <n v="-0.37969401947148818"/>
    <n v="0.18461061123177164"/>
    <n v="1.2002377929333334"/>
  </r>
  <r>
    <n v="2025"/>
    <n v="18131743461"/>
    <n v="-1.3470736479666092"/>
    <n v="0.26"/>
    <n v="11251"/>
    <n v="1"/>
    <s v="RES"/>
    <n v="3041"/>
    <x v="0"/>
    <s v="SR"/>
    <n v="11"/>
    <n v="259"/>
    <s v="CP"/>
    <s v="V"/>
    <s v="EX"/>
    <n v="2008"/>
    <n v="2008"/>
    <x v="1"/>
    <n v="16"/>
    <n v="16"/>
    <n v="1"/>
    <n v="2681"/>
    <n v="0"/>
    <n v="0"/>
    <n v="0"/>
    <n v="0"/>
    <n v="0"/>
    <n v="2681"/>
    <n v="3000"/>
    <n v="3"/>
    <s v="S"/>
    <s v="FD"/>
    <s v="G"/>
    <s v="Y"/>
    <n v="0"/>
    <n v="0"/>
    <n v="2"/>
    <n v="0"/>
    <n v="0"/>
    <n v="14"/>
    <n v="688"/>
    <n v="0"/>
    <n v="688"/>
    <n v="0"/>
    <n v="0"/>
    <n v="0"/>
    <n v="0"/>
    <n v="100"/>
    <n v="100"/>
    <n v="598518"/>
    <n v="580562"/>
    <n v="643"/>
    <n v="365"/>
    <n v="278"/>
    <n v="0"/>
    <d v="2022-03-29T00:00:00"/>
    <s v="E035921"/>
    <n v="640000"/>
    <n v="640000"/>
    <s v="SWD"/>
    <n v="30"/>
    <s v="N"/>
    <s v="Y"/>
    <n v="597500"/>
    <n v="84000"/>
    <n v="513500"/>
    <n v="0"/>
    <n v="0.93359375"/>
    <n v="739125.72721747821"/>
    <n v="770404.65987037867"/>
    <n v="0.28938018388347897"/>
    <n v="-31278.946212000003"/>
    <n v="87214.824999999997"/>
    <n v="87214.824999999997"/>
    <n v="-33714.35181196651"/>
    <n v="46722.525125"/>
    <n v="133581.64413"/>
    <n v="2952.1988799999999"/>
    <n v="185212.75357900001"/>
    <n v="0"/>
    <n v="0"/>
    <n v="0"/>
    <n v="142171.4"/>
    <n v="0"/>
    <n v="84182.043999999994"/>
    <n v="34866.805935999997"/>
    <n v="739125.7236260334"/>
    <n v="0"/>
    <n v="685600"/>
    <n v="53500"/>
    <n v="739100"/>
    <n v="1.1548437499999999"/>
    <n v="0.23698744769874477"/>
    <n v="0.97570000000000001"/>
    <n v="0.98329999999999995"/>
    <n v="0.98370000000000002"/>
    <n v="0.93310000000000004"/>
    <n v="0.97499999999999998"/>
    <n v="0.92691499999999993"/>
    <n v="0.81568302793433534"/>
    <n v="700800"/>
    <n v="0"/>
    <n v="700800"/>
    <n v="49600"/>
    <n v="750400"/>
    <n v="0.3647517039922103"/>
    <n v="-0.40952380952380951"/>
    <n v="0.25589958158995818"/>
    <n v="1.1236266465437501"/>
  </r>
  <r>
    <n v="2025"/>
    <n v="18131734437"/>
    <n v="-1.1711829815029451"/>
    <n v="0.31"/>
    <n v="13606"/>
    <n v="1"/>
    <s v="RES"/>
    <n v="3041"/>
    <x v="0"/>
    <s v="SR"/>
    <n v="11"/>
    <n v="259"/>
    <s v="CP"/>
    <s v="V"/>
    <s v="EX"/>
    <n v="2008"/>
    <n v="2008"/>
    <x v="1"/>
    <n v="16"/>
    <n v="16"/>
    <n v="1"/>
    <n v="3098"/>
    <n v="0"/>
    <n v="0"/>
    <n v="0"/>
    <n v="0"/>
    <n v="0"/>
    <n v="3098"/>
    <n v="3500"/>
    <n v="3"/>
    <s v="S"/>
    <s v="FD"/>
    <s v="G"/>
    <s v="Y"/>
    <n v="0"/>
    <n v="0"/>
    <n v="1"/>
    <n v="0"/>
    <n v="1"/>
    <n v="14"/>
    <n v="1024"/>
    <n v="0"/>
    <n v="1024"/>
    <n v="0"/>
    <n v="0"/>
    <n v="0"/>
    <n v="0"/>
    <n v="100"/>
    <n v="100"/>
    <n v="667413"/>
    <n v="647391"/>
    <n v="559"/>
    <n v="365"/>
    <n v="194"/>
    <n v="0"/>
    <d v="2022-06-21T00:00:00"/>
    <s v="E037014"/>
    <n v="835000"/>
    <n v="791865"/>
    <s v="SWD"/>
    <n v="30"/>
    <s v="N"/>
    <s v="Y"/>
    <n v="679100"/>
    <n v="94000"/>
    <n v="585100"/>
    <n v="43135"/>
    <n v="0.81329341317365267"/>
    <n v="739280.5052425313"/>
    <n v="778551.57974515168"/>
    <n v="0.14644614893999658"/>
    <n v="-39271.088076"/>
    <n v="87214.824999999997"/>
    <n v="87214.824999999997"/>
    <n v="-29312.187298876561"/>
    <n v="46722.525125"/>
    <n v="133581.64413"/>
    <n v="2952.1988799999999"/>
    <n v="214020.55598200002"/>
    <n v="0"/>
    <n v="0"/>
    <n v="0"/>
    <n v="142171.4"/>
    <n v="0"/>
    <n v="42091.021999999997"/>
    <n v="51894.780928"/>
    <n v="739280.50167012343"/>
    <n v="43100"/>
    <n v="681400"/>
    <n v="57900"/>
    <n v="782400"/>
    <n v="0.93700598802395207"/>
    <n v="0.15211309085554411"/>
    <n v="0.97570000000000001"/>
    <n v="0.98329999999999995"/>
    <n v="0.98370000000000002"/>
    <n v="0.99619999999999997"/>
    <n v="0.97499999999999998"/>
    <n v="0.92691499999999993"/>
    <n v="0.87084281687727438"/>
    <n v="709400"/>
    <n v="40000"/>
    <n v="749400"/>
    <n v="53700"/>
    <n v="803100"/>
    <n v="0.28080669970945138"/>
    <n v="-0.42872340425531913"/>
    <n v="0.18259461051391548"/>
    <n v="0.91476516398083829"/>
  </r>
  <r>
    <n v="2025"/>
    <n v="18131743443"/>
    <n v="-1.4271163556401458"/>
    <n v="0.24"/>
    <n v="10602"/>
    <n v="1"/>
    <s v="RES"/>
    <n v="3041"/>
    <x v="0"/>
    <s v="SR"/>
    <n v="11"/>
    <n v="259"/>
    <s v="CO"/>
    <s v="G"/>
    <s v="VG"/>
    <n v="2007"/>
    <n v="2007"/>
    <x v="1"/>
    <n v="17"/>
    <n v="17"/>
    <n v="1"/>
    <n v="2181"/>
    <n v="0"/>
    <n v="0"/>
    <n v="0"/>
    <n v="0"/>
    <n v="0"/>
    <n v="2181"/>
    <n v="2500"/>
    <n v="3"/>
    <m/>
    <s v="FD"/>
    <s v="G"/>
    <s v="Y"/>
    <n v="0"/>
    <n v="0"/>
    <n v="1"/>
    <n v="0"/>
    <n v="0"/>
    <n v="11"/>
    <n v="808"/>
    <n v="0"/>
    <n v="808"/>
    <n v="0"/>
    <n v="36"/>
    <n v="0"/>
    <n v="0"/>
    <n v="100"/>
    <n v="100"/>
    <n v="438715"/>
    <n v="416779"/>
    <n v="550"/>
    <n v="365"/>
    <n v="185"/>
    <n v="0"/>
    <d v="2022-06-30T00:00:00"/>
    <s v="E037410"/>
    <n v="575000"/>
    <n v="575000"/>
    <s v="SWD"/>
    <n v="30"/>
    <s v="N"/>
    <s v="Y"/>
    <n v="498300"/>
    <n v="79500"/>
    <n v="418800"/>
    <n v="0"/>
    <n v="0.86660869565217391"/>
    <n v="539365.39478860807"/>
    <n v="579492.77020369843"/>
    <n v="0.16293953482580459"/>
    <n v="-40127.388990000007"/>
    <n v="87214.824999999997"/>
    <n v="87214.824999999997"/>
    <n v="-35717.648373042801"/>
    <n v="-14329.694740000001"/>
    <n v="106557.38887"/>
    <n v="3136.7113099999997"/>
    <n v="150671.02407900002"/>
    <n v="0"/>
    <n v="0"/>
    <n v="0"/>
    <n v="111706.1"/>
    <n v="0"/>
    <n v="42091.021999999997"/>
    <n v="40948.225575999997"/>
    <n v="539365.38973195711"/>
    <n v="0"/>
    <n v="487900"/>
    <n v="51500"/>
    <n v="539400"/>
    <n v="0.93808695652173912"/>
    <n v="8.2480433473810955E-2"/>
    <n v="0.97570000000000001"/>
    <n v="0.98809999999999998"/>
    <n v="0.9748"/>
    <n v="0.93440000000000001"/>
    <n v="0.97499999999999998"/>
    <n v="0.92691499999999993"/>
    <n v="0.81338053585432291"/>
    <n v="511700"/>
    <n v="0"/>
    <n v="511700"/>
    <n v="47700"/>
    <n v="559400"/>
    <n v="0.22182425978987583"/>
    <n v="-0.4"/>
    <n v="0.12261689745133454"/>
    <n v="0.90308280175652178"/>
  </r>
  <r>
    <n v="2025"/>
    <n v="18131743445"/>
    <n v="-1.2378743560016174"/>
    <n v="0.28999999999999998"/>
    <n v="12658"/>
    <n v="1"/>
    <s v="RES"/>
    <n v="3041"/>
    <x v="0"/>
    <s v="SR"/>
    <n v="11"/>
    <n v="259"/>
    <s v="CO"/>
    <s v="G+"/>
    <s v="VG"/>
    <n v="2007"/>
    <n v="2007"/>
    <x v="1"/>
    <n v="17"/>
    <n v="17"/>
    <n v="1"/>
    <n v="2410"/>
    <n v="0"/>
    <n v="0"/>
    <n v="0"/>
    <n v="0"/>
    <n v="0"/>
    <n v="2410"/>
    <n v="2500"/>
    <n v="3"/>
    <m/>
    <s v="FD"/>
    <s v="G"/>
    <s v="Y"/>
    <n v="0"/>
    <n v="0"/>
    <n v="1"/>
    <n v="0"/>
    <n v="1"/>
    <n v="12"/>
    <n v="797"/>
    <n v="0"/>
    <n v="797"/>
    <n v="0"/>
    <n v="0"/>
    <n v="0"/>
    <n v="0"/>
    <n v="100"/>
    <n v="100"/>
    <n v="494549"/>
    <n v="474767"/>
    <n v="490"/>
    <n v="365"/>
    <n v="125"/>
    <n v="0"/>
    <d v="2022-08-29T00:00:00"/>
    <s v="E037931"/>
    <n v="600000"/>
    <n v="600000"/>
    <s v="SWD"/>
    <n v="30"/>
    <s v="N"/>
    <s v="Y"/>
    <n v="581500"/>
    <n v="90200"/>
    <n v="491300"/>
    <n v="0"/>
    <n v="0.96916666666666662"/>
    <n v="597329.93502069172"/>
    <n v="643165.98318558186"/>
    <n v="0.10604640272671"/>
    <n v="-45836.061750000008"/>
    <n v="87214.824999999997"/>
    <n v="87214.824999999997"/>
    <n v="-30981.328749357657"/>
    <n v="19189.450408000001"/>
    <n v="106557.38887"/>
    <n v="3136.7113099999997"/>
    <n v="166491.13619000002"/>
    <n v="0"/>
    <n v="0"/>
    <n v="0"/>
    <n v="121861.20000000001"/>
    <n v="0"/>
    <n v="42091.021999999997"/>
    <n v="40390.762109000003"/>
    <n v="597329.93038764247"/>
    <n v="0"/>
    <n v="541100"/>
    <n v="56200"/>
    <n v="597300"/>
    <n v="0.99550000000000005"/>
    <n v="2.7171109200343938E-2"/>
    <n v="0.97570000000000001"/>
    <n v="0.9819"/>
    <n v="0.9748"/>
    <n v="0.93440000000000001"/>
    <n v="0.97499999999999998"/>
    <n v="0.92691499999999993"/>
    <n v="0.80827684258208654"/>
    <n v="570200"/>
    <n v="0"/>
    <n v="570200"/>
    <n v="52100"/>
    <n v="622300"/>
    <n v="0.16059434154284552"/>
    <n v="-0.42239467849223949"/>
    <n v="7.0163370593293209E-2"/>
    <n v="0.96077323041666662"/>
  </r>
  <r>
    <n v="2025"/>
    <n v="18131743460"/>
    <n v="-1.2729656758128873"/>
    <n v="0.28000000000000003"/>
    <n v="12141"/>
    <n v="1"/>
    <s v="RES"/>
    <n v="3041"/>
    <x v="0"/>
    <s v="SR"/>
    <n v="11"/>
    <n v="259"/>
    <s v="CP"/>
    <s v="V"/>
    <s v="EX"/>
    <n v="2007"/>
    <n v="2007"/>
    <x v="1"/>
    <n v="17"/>
    <n v="17"/>
    <n v="1"/>
    <n v="2829"/>
    <n v="0"/>
    <n v="0"/>
    <n v="0"/>
    <n v="0"/>
    <n v="0"/>
    <n v="2829"/>
    <n v="3000"/>
    <n v="3"/>
    <s v="B"/>
    <s v="HP"/>
    <s v="E"/>
    <m/>
    <n v="0"/>
    <n v="0"/>
    <n v="1"/>
    <n v="2"/>
    <n v="1"/>
    <n v="17"/>
    <n v="844"/>
    <n v="0"/>
    <n v="844"/>
    <n v="0"/>
    <n v="0"/>
    <n v="0"/>
    <n v="0"/>
    <n v="100"/>
    <n v="100"/>
    <n v="641422"/>
    <n v="622179"/>
    <n v="942"/>
    <n v="365"/>
    <n v="365"/>
    <n v="212"/>
    <d v="2021-06-03T00:00:00"/>
    <s v="E031579"/>
    <n v="595000"/>
    <n v="595000"/>
    <s v="SWD"/>
    <n v="30"/>
    <s v="N"/>
    <s v="Y"/>
    <n v="629700"/>
    <n v="88200"/>
    <n v="541500"/>
    <n v="0"/>
    <n v="1.0583193277310925"/>
    <n v="690526.80988016573"/>
    <n v="778948.40926906129"/>
    <n v="0.23701510126895553"/>
    <n v="-88421.602710000006"/>
    <n v="87214.824999999997"/>
    <n v="87214.824999999997"/>
    <n v="-31859.58889753087"/>
    <n v="46722.525125"/>
    <n v="133581.64413"/>
    <n v="3136.7113099999997"/>
    <n v="195437.105511"/>
    <n v="0"/>
    <n v="0"/>
    <n v="0"/>
    <n v="172636.7"/>
    <n v="0"/>
    <n v="42091.021999999997"/>
    <n v="42772.651468000004"/>
    <n v="690526.8179364691"/>
    <n v="0"/>
    <n v="635200"/>
    <n v="55400"/>
    <n v="690600"/>
    <n v="1.160672268907563"/>
    <n v="9.6712720343020489E-2"/>
    <n v="0.97570000000000001"/>
    <n v="0.98329999999999995"/>
    <n v="0.98370000000000002"/>
    <n v="0.93310000000000004"/>
    <n v="0.97499999999999998"/>
    <n v="0.92691499999999993"/>
    <n v="0.81568302793433534"/>
    <n v="707500"/>
    <n v="0"/>
    <n v="707500"/>
    <n v="51300"/>
    <n v="758800"/>
    <n v="0.30655586334256696"/>
    <n v="-0.41836734693877553"/>
    <n v="0.205018262664761"/>
    <n v="1.1266863819999999"/>
  </r>
  <r>
    <n v="2025"/>
    <n v="18131634478"/>
    <n v="-1.4696759700589417"/>
    <n v="0.23"/>
    <n v="9999"/>
    <n v="5"/>
    <s v="RES"/>
    <n v="3041"/>
    <x v="0"/>
    <s v="R1"/>
    <n v="11"/>
    <n v="259"/>
    <s v="CP"/>
    <s v="G"/>
    <s v="VG"/>
    <n v="2006"/>
    <n v="2006"/>
    <x v="1"/>
    <n v="18"/>
    <n v="18"/>
    <n v="1"/>
    <n v="2280"/>
    <n v="0"/>
    <n v="0"/>
    <n v="0"/>
    <n v="0"/>
    <n v="0"/>
    <n v="2280"/>
    <n v="2500"/>
    <n v="3"/>
    <s v="S"/>
    <s v="FD"/>
    <s v="G"/>
    <s v="Y"/>
    <n v="0"/>
    <n v="0"/>
    <n v="1"/>
    <n v="1"/>
    <n v="0"/>
    <n v="10"/>
    <n v="888"/>
    <n v="0"/>
    <n v="888"/>
    <n v="0"/>
    <n v="0"/>
    <n v="232"/>
    <n v="0"/>
    <n v="100"/>
    <n v="100"/>
    <n v="441085"/>
    <n v="419031"/>
    <n v="756"/>
    <n v="365"/>
    <n v="365"/>
    <n v="26"/>
    <d v="2021-12-06T00:00:00"/>
    <s v="E034974"/>
    <n v="421000"/>
    <n v="421000"/>
    <s v="SWD"/>
    <n v="30"/>
    <s v="N"/>
    <s v="Y"/>
    <n v="494400"/>
    <n v="77000"/>
    <n v="417400"/>
    <n v="0"/>
    <n v="1.1743467933491687"/>
    <n v="548325.95536763011"/>
    <n v="579350.54978711018"/>
    <n v="0.17182554568590247"/>
    <n v="-31024.606710000004"/>
    <n v="87214.824999999997"/>
    <n v="87214.824999999997"/>
    <n v="-36782.823848535809"/>
    <n v="-14329.694740000001"/>
    <n v="106557.38887"/>
    <n v="3321.2237399999999"/>
    <n v="157510.28652000002"/>
    <n v="0"/>
    <n v="0"/>
    <n v="0"/>
    <n v="101551"/>
    <n v="0"/>
    <n v="42091.021999999997"/>
    <n v="45002.505336000002"/>
    <n v="548325.95116746426"/>
    <n v="0"/>
    <n v="497900"/>
    <n v="50400"/>
    <n v="548300"/>
    <n v="1.3023752969121141"/>
    <n v="0.1090210355987055"/>
    <n v="0.97570000000000001"/>
    <n v="0.98809999999999998"/>
    <n v="0.9748"/>
    <n v="0.93440000000000001"/>
    <n v="0.97499999999999998"/>
    <n v="0.92691499999999993"/>
    <n v="0.81338053585432291"/>
    <n v="512600"/>
    <n v="0"/>
    <n v="512600"/>
    <n v="46700"/>
    <n v="559300"/>
    <n v="0.22807858169621467"/>
    <n v="-0.39350649350649353"/>
    <n v="0.13127022653721682"/>
    <n v="1.2548109104275535"/>
  </r>
  <r>
    <n v="2025"/>
    <n v="18131634499"/>
    <n v="-1.4271163556401458"/>
    <n v="0.24"/>
    <n v="10553"/>
    <n v="5"/>
    <s v="RES"/>
    <s v="YN1"/>
    <x v="0"/>
    <s v="R1"/>
    <n v="11"/>
    <n v="259"/>
    <s v="CU"/>
    <s v="V"/>
    <s v="GD"/>
    <n v="2006"/>
    <n v="2006"/>
    <x v="1"/>
    <n v="18"/>
    <n v="18"/>
    <n v="2"/>
    <n v="1686"/>
    <n v="1352"/>
    <n v="0"/>
    <n v="912"/>
    <n v="912"/>
    <n v="0"/>
    <n v="3950"/>
    <n v="4000"/>
    <n v="2"/>
    <m/>
    <s v="FD"/>
    <s v="G"/>
    <s v="Y"/>
    <n v="0"/>
    <n v="0"/>
    <n v="2"/>
    <n v="1"/>
    <n v="0"/>
    <n v="15"/>
    <n v="760"/>
    <n v="0"/>
    <n v="760"/>
    <n v="0"/>
    <n v="96"/>
    <n v="96"/>
    <n v="0"/>
    <n v="100"/>
    <n v="100"/>
    <n v="750751"/>
    <n v="720721"/>
    <n v="94"/>
    <n v="94"/>
    <n v="0"/>
    <n v="0"/>
    <d v="2023-09-29T00:00:00"/>
    <s v="E041702"/>
    <n v="774900"/>
    <n v="774900"/>
    <s v="SWD"/>
    <n v="30"/>
    <s v="N"/>
    <s v="Y"/>
    <n v="566500"/>
    <n v="79500"/>
    <n v="487000"/>
    <n v="0"/>
    <n v="0.73106207252548716"/>
    <n v="721473.42726372741"/>
    <n v="736340.65175962378"/>
    <n v="0.29980697574514348"/>
    <n v="-14867.228000000001"/>
    <n v="87214.824999999997"/>
    <n v="87214.824999999997"/>
    <n v="-35717.648373042801"/>
    <n v="46722.525125"/>
    <n v="47273.897095"/>
    <n v="3321.2237399999999"/>
    <n v="116474.71187400002"/>
    <n v="82721.0046"/>
    <n v="0"/>
    <n v="26091.096095999997"/>
    <n v="152326.5"/>
    <n v="0"/>
    <n v="84182.043999999994"/>
    <n v="38515.657720000003"/>
    <n v="721473.43387695716"/>
    <n v="0"/>
    <n v="670000"/>
    <n v="51500"/>
    <n v="721500"/>
    <n v="0.93108788230739448"/>
    <n v="0.27360988526037072"/>
    <n v="0.97570000000000001"/>
    <n v="0.98329999999999995"/>
    <n v="0.97829999999999995"/>
    <n v="1.034"/>
    <n v="0.97499999999999998"/>
    <n v="0.92691499999999993"/>
    <n v="0.89892437628197375"/>
    <n v="676000"/>
    <n v="0"/>
    <n v="676000"/>
    <n v="47700"/>
    <n v="723700"/>
    <n v="0.38809034907597534"/>
    <n v="-0.4"/>
    <n v="0.27749338040600174"/>
    <n v="0.91474096270486516"/>
  </r>
  <r>
    <n v="2025"/>
    <n v="18131741414"/>
    <n v="-0.61618613942381695"/>
    <n v="0.54"/>
    <n v="23691"/>
    <n v="1"/>
    <s v="RES"/>
    <s v="YN1"/>
    <x v="0"/>
    <s v="SR"/>
    <n v="11"/>
    <n v="331"/>
    <s v="CU"/>
    <s v="X"/>
    <s v="VG"/>
    <n v="2006"/>
    <n v="2006"/>
    <x v="1"/>
    <n v="18"/>
    <n v="18"/>
    <n v="1"/>
    <n v="3838"/>
    <n v="0"/>
    <n v="0"/>
    <n v="0"/>
    <n v="0"/>
    <n v="0"/>
    <n v="3838"/>
    <n v="4000"/>
    <n v="3"/>
    <s v="S"/>
    <s v="FD"/>
    <s v="G"/>
    <s v="Y"/>
    <n v="0"/>
    <n v="1"/>
    <n v="0"/>
    <n v="0"/>
    <n v="1"/>
    <n v="18"/>
    <n v="954"/>
    <n v="0"/>
    <n v="954"/>
    <n v="0"/>
    <n v="96"/>
    <n v="0"/>
    <n v="0"/>
    <n v="100"/>
    <n v="100"/>
    <n v="1572793"/>
    <n v="1509881"/>
    <n v="129"/>
    <n v="129"/>
    <n v="0"/>
    <n v="0"/>
    <d v="2023-08-25T00:00:00"/>
    <s v="E041302"/>
    <n v="1425000"/>
    <n v="1330994"/>
    <s v="SWD"/>
    <n v="30"/>
    <s v="N"/>
    <s v="Y"/>
    <n v="893600"/>
    <n v="125500"/>
    <n v="768100"/>
    <n v="94006"/>
    <n v="0.62708771929824558"/>
    <n v="1289280.3173302484"/>
    <n v="1309683.2105214254"/>
    <n v="0.4656257951224545"/>
    <n v="-20402.898000000001"/>
    <n v="87214.824999999997"/>
    <n v="87214.824999999997"/>
    <n v="-15421.81180483382"/>
    <n v="519241.74659"/>
    <n v="106557.38887"/>
    <n v="3321.2237399999999"/>
    <n v="265142.315642"/>
    <n v="0"/>
    <n v="0"/>
    <n v="0"/>
    <n v="182791.80000000002"/>
    <n v="25273.623"/>
    <n v="0"/>
    <n v="48347.286138000003"/>
    <n v="1289280.3241751662"/>
    <n v="94000"/>
    <n v="1217500"/>
    <n v="71800"/>
    <n v="1383300"/>
    <n v="0.97073684210526312"/>
    <n v="0.54800805729632951"/>
    <n v="0.97570000000000001"/>
    <n v="0.99960000000000004"/>
    <n v="0.9748"/>
    <n v="1.034"/>
    <n v="0.97499999999999998"/>
    <n v="0.92691499999999993"/>
    <n v="0.91055636115552119"/>
    <n v="1230100"/>
    <n v="87100"/>
    <n v="1317200"/>
    <n v="66500"/>
    <n v="1383700"/>
    <n v="0.71488087488608254"/>
    <n v="-0.47011952191235062"/>
    <n v="0.54845568487018803"/>
    <n v="0.95669972070175435"/>
  </r>
  <r>
    <n v="2025"/>
    <n v="18131533492"/>
    <n v="-1.7719568419318752"/>
    <n v="0.17"/>
    <n v="7576"/>
    <n v="5"/>
    <s v="RES"/>
    <s v="YN1"/>
    <x v="0"/>
    <s v="R1"/>
    <n v="11"/>
    <n v="259"/>
    <s v="RN"/>
    <s v="G"/>
    <s v="GD"/>
    <n v="2005"/>
    <n v="2005"/>
    <x v="1"/>
    <n v="19"/>
    <n v="19"/>
    <n v="1"/>
    <n v="1919"/>
    <n v="0"/>
    <n v="0"/>
    <n v="0"/>
    <n v="0"/>
    <n v="0"/>
    <n v="1919"/>
    <n v="2000"/>
    <n v="2"/>
    <s v="S"/>
    <s v="FD"/>
    <s v="G"/>
    <s v="Y"/>
    <n v="0"/>
    <n v="0"/>
    <n v="0"/>
    <n v="1"/>
    <n v="0"/>
    <n v="10"/>
    <n v="594"/>
    <n v="0"/>
    <n v="594"/>
    <n v="0"/>
    <n v="0"/>
    <n v="0"/>
    <n v="0"/>
    <n v="100"/>
    <n v="100"/>
    <n v="385901"/>
    <n v="358888"/>
    <n v="96"/>
    <n v="96"/>
    <n v="0"/>
    <n v="0"/>
    <d v="2023-09-27T00:00:00"/>
    <s v="E041617"/>
    <n v="439000"/>
    <n v="439000"/>
    <s v="SWD"/>
    <n v="30"/>
    <s v="N"/>
    <s v="Y"/>
    <n v="395000"/>
    <n v="59900"/>
    <n v="335100"/>
    <n v="0"/>
    <n v="0.89977220956719817"/>
    <n v="415572.95412560372"/>
    <n v="430756.50254694466"/>
    <n v="9.0522791258087737E-2"/>
    <n v="-15183.552"/>
    <n v="87214.824999999997"/>
    <n v="87214.824999999997"/>
    <n v="-44348.26295851732"/>
    <n v="-14329.694740000001"/>
    <n v="47273.897095"/>
    <n v="3505.7361700000001"/>
    <n v="132571.157821"/>
    <n v="0"/>
    <n v="0"/>
    <n v="0"/>
    <n v="101551"/>
    <n v="0"/>
    <n v="0"/>
    <n v="30103.027217999999"/>
    <n v="415572.95860548265"/>
    <n v="0"/>
    <n v="372700"/>
    <n v="42900"/>
    <n v="415600"/>
    <n v="0.94669703872437361"/>
    <n v="5.2151898734177214E-2"/>
    <n v="0.97570000000000001"/>
    <n v="0.98809999999999998"/>
    <n v="0.97829999999999995"/>
    <n v="0.99099999999999999"/>
    <n v="0.97499999999999998"/>
    <n v="0.92691499999999993"/>
    <n v="0.8657472750625782"/>
    <n v="376200"/>
    <n v="0"/>
    <n v="376200"/>
    <n v="39700"/>
    <n v="415900"/>
    <n v="0.12264995523724262"/>
    <n v="-0.337228714524207"/>
    <n v="5.291139240506329E-2"/>
    <n v="0.91279373120728924"/>
  </r>
  <r>
    <n v="2025"/>
    <n v="18131533495"/>
    <n v="-1.8325814637483102"/>
    <n v="0.16"/>
    <n v="7074"/>
    <n v="5"/>
    <s v="RES"/>
    <n v="3042"/>
    <x v="0"/>
    <s v="R1"/>
    <n v="11"/>
    <n v="259"/>
    <s v="RN"/>
    <s v="G"/>
    <s v="GD"/>
    <n v="2004"/>
    <n v="2004"/>
    <x v="1"/>
    <n v="20"/>
    <n v="20"/>
    <n v="1"/>
    <n v="1873"/>
    <n v="0"/>
    <n v="0"/>
    <n v="0"/>
    <n v="0"/>
    <n v="0"/>
    <n v="1873"/>
    <n v="2000"/>
    <n v="2"/>
    <s v="S"/>
    <s v="FD"/>
    <s v="G"/>
    <s v="Y"/>
    <n v="0"/>
    <n v="0"/>
    <n v="0"/>
    <n v="1"/>
    <n v="0"/>
    <n v="10"/>
    <n v="561"/>
    <n v="0"/>
    <n v="561"/>
    <n v="0"/>
    <n v="0"/>
    <n v="230"/>
    <n v="0"/>
    <n v="100"/>
    <n v="100"/>
    <n v="378315"/>
    <n v="351833"/>
    <n v="929"/>
    <n v="365"/>
    <n v="365"/>
    <n v="199"/>
    <d v="2021-06-16T00:00:00"/>
    <s v="E031763"/>
    <n v="425000"/>
    <n v="425000"/>
    <s v="SWD"/>
    <n v="30"/>
    <s v="N"/>
    <s v="Y"/>
    <n v="387800"/>
    <n v="56400"/>
    <n v="331400"/>
    <n v="0"/>
    <n v="0.91247058823529414"/>
    <n v="340163.50099314965"/>
    <n v="424573.48175515071"/>
    <n v="9.4825894159749138E-2"/>
    <n v="-84409.984710000004"/>
    <n v="87214.824999999997"/>
    <n v="87214.824999999997"/>
    <n v="-45865.56665714729"/>
    <n v="-14329.694740000001"/>
    <n v="47273.897095"/>
    <n v="3690.2485999999999"/>
    <n v="129393.31870700001"/>
    <n v="0"/>
    <n v="0"/>
    <n v="0"/>
    <n v="101551"/>
    <n v="0"/>
    <n v="0"/>
    <n v="28430.636816999999"/>
    <n v="340163.50511185272"/>
    <n v="0"/>
    <n v="298800"/>
    <n v="41300"/>
    <n v="340100"/>
    <n v="0.80023529411764704"/>
    <n v="-0.12300154718927282"/>
    <n v="0.97570000000000001"/>
    <n v="0.98809999999999998"/>
    <n v="0.97829999999999995"/>
    <n v="0.99099999999999999"/>
    <n v="0.97499999999999998"/>
    <n v="0.92691499999999993"/>
    <n v="0.8657472750625782"/>
    <n v="371500"/>
    <n v="0"/>
    <n v="371500"/>
    <n v="38300"/>
    <n v="409800"/>
    <n v="0.12100181050090525"/>
    <n v="-0.32092198581560283"/>
    <n v="5.6730273336771532E-2"/>
    <n v="0.76562356538823528"/>
  </r>
  <r>
    <n v="2025"/>
    <n v="18131613447"/>
    <n v="-0.84397007029452897"/>
    <n v="0.43"/>
    <n v="18519"/>
    <n v="5"/>
    <s v="RES"/>
    <s v="YN1"/>
    <x v="0"/>
    <s v="R1"/>
    <n v="11"/>
    <n v="259"/>
    <s v="RN"/>
    <s v="V"/>
    <s v="GD"/>
    <n v="2004"/>
    <n v="2004"/>
    <x v="1"/>
    <n v="20"/>
    <n v="20"/>
    <n v="1"/>
    <n v="2802"/>
    <n v="0"/>
    <n v="0"/>
    <n v="0"/>
    <n v="0"/>
    <n v="0"/>
    <n v="2802"/>
    <n v="3000"/>
    <n v="3"/>
    <m/>
    <s v="FD"/>
    <s v="G"/>
    <s v="Y"/>
    <n v="0"/>
    <n v="0"/>
    <n v="1"/>
    <n v="0"/>
    <n v="0"/>
    <n v="17"/>
    <n v="1072"/>
    <n v="0"/>
    <n v="1072"/>
    <n v="0"/>
    <n v="0"/>
    <n v="784"/>
    <n v="0"/>
    <n v="100"/>
    <n v="100"/>
    <n v="807207"/>
    <n v="774919"/>
    <n v="131"/>
    <n v="131"/>
    <n v="0"/>
    <n v="0"/>
    <d v="2023-08-23T00:00:00"/>
    <s v="E041270"/>
    <n v="768000"/>
    <n v="768000"/>
    <s v="SWD"/>
    <n v="30"/>
    <s v="N"/>
    <s v="Y"/>
    <n v="648600"/>
    <n v="112600"/>
    <n v="536000"/>
    <n v="0"/>
    <n v="0.84453124999999996"/>
    <n v="692901.26238650072"/>
    <n v="713620.47950312216"/>
    <n v="0.10024742445748097"/>
    <n v="-20719.222000000002"/>
    <n v="87214.824999999997"/>
    <n v="87214.824999999997"/>
    <n v="-21122.752947940648"/>
    <n v="46722.525125"/>
    <n v="47273.897095"/>
    <n v="3690.2485999999999"/>
    <n v="193571.85211800001"/>
    <n v="0"/>
    <n v="0"/>
    <n v="0"/>
    <n v="172636.7"/>
    <n v="0"/>
    <n v="42091.021999999997"/>
    <n v="54327.348784000002"/>
    <n v="692901.26877405937"/>
    <n v="0"/>
    <n v="626800"/>
    <n v="66100"/>
    <n v="692900"/>
    <n v="0.90221354166666667"/>
    <n v="6.8300955905026217E-2"/>
    <n v="0.97570000000000001"/>
    <n v="0.98329999999999995"/>
    <n v="0.97829999999999995"/>
    <n v="0.93310000000000004"/>
    <n v="0.97499999999999998"/>
    <n v="0.92691499999999993"/>
    <n v="0.81120535349004808"/>
    <n v="631100"/>
    <n v="0"/>
    <n v="631100"/>
    <n v="61300"/>
    <n v="692400"/>
    <n v="0.17742537313432835"/>
    <n v="-0.45559502664298401"/>
    <n v="6.7530064754856609E-2"/>
    <n v="0.87458434635416671"/>
  </r>
  <r>
    <n v="2025"/>
    <n v="17132413431"/>
    <n v="0"/>
    <n v="1"/>
    <n v="0"/>
    <n v="1"/>
    <s v="RES"/>
    <n v="3042"/>
    <x v="0"/>
    <s v="R1"/>
    <n v="11"/>
    <n v="331"/>
    <s v="CU"/>
    <s v="E"/>
    <s v="VG"/>
    <n v="2002"/>
    <n v="2002"/>
    <x v="2"/>
    <n v="22"/>
    <n v="22"/>
    <n v="1"/>
    <n v="3819"/>
    <n v="0"/>
    <n v="0"/>
    <n v="0"/>
    <n v="0"/>
    <n v="0"/>
    <n v="3819"/>
    <n v="4000"/>
    <n v="2"/>
    <s v="S"/>
    <s v="FD"/>
    <s v="G"/>
    <s v="Y"/>
    <n v="0"/>
    <n v="0"/>
    <n v="2"/>
    <n v="2"/>
    <n v="1"/>
    <n v="16"/>
    <n v="673"/>
    <n v="0"/>
    <n v="673"/>
    <n v="0"/>
    <n v="0"/>
    <n v="579"/>
    <n v="0"/>
    <n v="100"/>
    <n v="100"/>
    <n v="1299512"/>
    <n v="1247532"/>
    <n v="279"/>
    <n v="279"/>
    <n v="0"/>
    <n v="0"/>
    <d v="2023-03-28T00:00:00"/>
    <s v="E039786"/>
    <n v="1100000"/>
    <n v="1100000"/>
    <s v="SWD"/>
    <n v="30"/>
    <s v="N"/>
    <s v="Y"/>
    <n v="1034600"/>
    <n v="160000"/>
    <n v="874600"/>
    <n v="0"/>
    <n v="0.94054545454545457"/>
    <n v="1028859.4804736837"/>
    <n v="1072986.6680732057"/>
    <n v="3.7102907474585098E-2"/>
    <n v="-44127.198000000004"/>
    <n v="87214.824999999997"/>
    <n v="87214.824999999997"/>
    <n v="0"/>
    <n v="243340.36395999999"/>
    <n v="106557.38887"/>
    <n v="4059.2734599999999"/>
    <n v="263829.72992100002"/>
    <n v="0"/>
    <n v="0"/>
    <n v="0"/>
    <n v="162481.60000000001"/>
    <n v="0"/>
    <n v="84182.043999999994"/>
    <n v="34106.628481"/>
    <n v="1028859.4806919999"/>
    <n v="0"/>
    <n v="941600"/>
    <n v="87200"/>
    <n v="1028800"/>
    <n v="0.93527272727272726"/>
    <n v="-5.6060313164508022E-3"/>
    <n v="0.97570000000000001"/>
    <n v="0.99519999999999997"/>
    <n v="0.9748"/>
    <n v="1.034"/>
    <n v="1.0059"/>
    <n v="0.92691499999999993"/>
    <n v="0.93527891792270168"/>
    <n v="980100"/>
    <n v="0"/>
    <n v="980100"/>
    <n v="80800"/>
    <n v="1060900"/>
    <n v="0.12062657214726732"/>
    <n v="-0.495"/>
    <n v="2.5420452348733809E-2"/>
    <n v="0.92433891090909093"/>
  </r>
  <r>
    <n v="2025"/>
    <n v="18131633445"/>
    <n v="-5.1293294387550578E-2"/>
    <n v="0.95"/>
    <n v="41439"/>
    <n v="5"/>
    <s v="RES"/>
    <s v="YN1"/>
    <x v="0"/>
    <s v="R1"/>
    <n v="11"/>
    <n v="331"/>
    <s v="CU"/>
    <s v="X"/>
    <s v="VG"/>
    <n v="2002"/>
    <n v="2002"/>
    <x v="2"/>
    <n v="22"/>
    <n v="22"/>
    <n v="1"/>
    <n v="2861"/>
    <n v="0"/>
    <n v="0"/>
    <n v="2790"/>
    <n v="2337"/>
    <n v="453"/>
    <n v="5198"/>
    <n v="5500"/>
    <n v="3"/>
    <s v="S"/>
    <s v="FD"/>
    <s v="G"/>
    <s v="Y"/>
    <n v="0"/>
    <n v="0"/>
    <n v="2"/>
    <n v="1"/>
    <n v="1"/>
    <n v="19"/>
    <n v="816"/>
    <n v="0"/>
    <n v="816"/>
    <n v="0"/>
    <n v="868"/>
    <n v="355"/>
    <n v="63"/>
    <n v="100"/>
    <n v="100"/>
    <n v="1604871"/>
    <n v="1540676"/>
    <n v="136"/>
    <n v="136"/>
    <n v="0"/>
    <n v="0"/>
    <d v="2023-08-18T00:00:00"/>
    <s v="E041211"/>
    <n v="1395000"/>
    <n v="1395000"/>
    <s v="SWD"/>
    <n v="30"/>
    <s v="N"/>
    <s v="Y"/>
    <n v="861600"/>
    <n v="157600"/>
    <n v="704000"/>
    <n v="0"/>
    <n v="0.61763440860215058"/>
    <n v="1377442.7899623134"/>
    <n v="1398952.8168925464"/>
    <n v="0.62366854328289967"/>
    <n v="-21510.031999999999"/>
    <n v="87214.824999999997"/>
    <n v="87214.824999999997"/>
    <n v="-1283.7606727642803"/>
    <n v="519241.74659"/>
    <n v="106557.38887"/>
    <n v="4059.2734599999999"/>
    <n v="197647.77619900001"/>
    <n v="0"/>
    <n v="0"/>
    <n v="79818.15582"/>
    <n v="192946.9"/>
    <n v="0"/>
    <n v="84182.043999999994"/>
    <n v="41353.653552000003"/>
    <n v="1377442.7958182357"/>
    <n v="0"/>
    <n v="1291500"/>
    <n v="85900"/>
    <n v="1377400"/>
    <n v="0.98738351254480283"/>
    <n v="0.5986536675951718"/>
    <n v="0.97570000000000001"/>
    <n v="0.99960000000000004"/>
    <n v="0.9748"/>
    <n v="0.90720000000000001"/>
    <n v="1.0059"/>
    <n v="0.92691499999999993"/>
    <n v="0.824213128554527"/>
    <n v="1297700"/>
    <n v="0"/>
    <n v="1297700"/>
    <n v="79700"/>
    <n v="1377400"/>
    <n v="0.84332386363636369"/>
    <n v="-0.49428934010152287"/>
    <n v="0.5986536675951718"/>
    <n v="0.97196413476702515"/>
  </r>
  <r>
    <n v="2025"/>
    <n v="18131741413"/>
    <n v="7.6961041136128394E-2"/>
    <n v="1.08"/>
    <n v="46901"/>
    <n v="1"/>
    <s v="RES"/>
    <s v="HE"/>
    <x v="0"/>
    <s v="SR"/>
    <n v="11"/>
    <n v="259"/>
    <s v="CU"/>
    <s v="E"/>
    <s v="VG"/>
    <n v="2000"/>
    <n v="2000"/>
    <x v="2"/>
    <n v="24"/>
    <n v="24"/>
    <n v="2"/>
    <n v="2060"/>
    <n v="1196"/>
    <n v="0"/>
    <n v="0"/>
    <n v="0"/>
    <n v="0"/>
    <n v="3256"/>
    <n v="3500"/>
    <n v="3"/>
    <m/>
    <s v="FD"/>
    <s v="G"/>
    <s v="Y"/>
    <n v="0"/>
    <n v="1"/>
    <n v="0"/>
    <n v="0"/>
    <n v="1"/>
    <n v="13"/>
    <n v="836"/>
    <n v="0"/>
    <n v="836"/>
    <n v="0"/>
    <n v="346"/>
    <n v="356"/>
    <n v="346"/>
    <n v="100"/>
    <n v="100"/>
    <n v="975975"/>
    <n v="936936"/>
    <n v="622"/>
    <n v="365"/>
    <n v="257"/>
    <n v="0"/>
    <d v="2022-04-19T00:00:00"/>
    <s v="E036220"/>
    <n v="910000"/>
    <n v="870929"/>
    <s v="SWD"/>
    <n v="30"/>
    <s v="N"/>
    <s v="Y"/>
    <n v="832900"/>
    <n v="164900"/>
    <n v="668000"/>
    <n v="39071"/>
    <n v="0.91527472527472531"/>
    <n v="912550.23856076831"/>
    <n v="945827.20667609875"/>
    <n v="0.13558315124996848"/>
    <n v="-33276.981678000004"/>
    <n v="87214.824999999997"/>
    <n v="87214.824999999997"/>
    <n v="1926.1690855546865"/>
    <n v="243340.36395999999"/>
    <n v="106557.38887"/>
    <n v="4428.2983199999999"/>
    <n v="142311.92554"/>
    <n v="73176.273300000001"/>
    <n v="0"/>
    <n v="0"/>
    <n v="132016.30000000002"/>
    <n v="25273.623"/>
    <n v="0"/>
    <n v="42367.223491999997"/>
    <n v="912550.23388955474"/>
    <n v="39100"/>
    <n v="823400"/>
    <n v="89100"/>
    <n v="951600"/>
    <n v="1.0457142857142858"/>
    <n v="0.14251410733581463"/>
    <n v="0.97570000000000001"/>
    <n v="0.99519999999999997"/>
    <n v="0.9748"/>
    <n v="0.99619999999999997"/>
    <n v="1.0059"/>
    <n v="0.92691499999999993"/>
    <n v="0.90108787043964733"/>
    <n v="848100"/>
    <n v="36200"/>
    <n v="884300"/>
    <n v="82600"/>
    <n v="966900"/>
    <n v="0.32380239520958082"/>
    <n v="-0.49909035779260158"/>
    <n v="0.16088365950294153"/>
    <n v="1.0259593607934065"/>
  </r>
  <r>
    <n v="2025"/>
    <n v="18131733414"/>
    <n v="-0.59783700075562041"/>
    <n v="0.55000000000000004"/>
    <n v="0"/>
    <n v="1"/>
    <s v="RES"/>
    <n v="3041"/>
    <x v="0"/>
    <s v="SR"/>
    <n v="11"/>
    <n v="259"/>
    <s v="CP"/>
    <s v="V"/>
    <s v="VG"/>
    <n v="1999"/>
    <n v="1999"/>
    <x v="2"/>
    <n v="25"/>
    <n v="25"/>
    <n v="1"/>
    <n v="3040"/>
    <n v="0"/>
    <n v="0"/>
    <n v="792"/>
    <n v="792"/>
    <n v="0"/>
    <n v="3832"/>
    <n v="4000"/>
    <n v="3"/>
    <s v="B"/>
    <s v="FD"/>
    <s v="G"/>
    <s v="Y"/>
    <n v="0"/>
    <n v="0"/>
    <n v="1"/>
    <n v="2"/>
    <n v="0"/>
    <n v="18"/>
    <n v="912"/>
    <n v="0"/>
    <n v="912"/>
    <n v="0"/>
    <n v="468"/>
    <n v="0"/>
    <n v="0"/>
    <n v="100"/>
    <n v="100"/>
    <n v="812935"/>
    <n v="780418"/>
    <n v="990"/>
    <n v="365"/>
    <n v="365"/>
    <n v="260"/>
    <d v="2021-04-16T00:00:00"/>
    <s v="E030852"/>
    <n v="710500"/>
    <n v="632658"/>
    <s v="SWD"/>
    <n v="30"/>
    <s v="N"/>
    <s v="Y"/>
    <n v="783600"/>
    <n v="126600"/>
    <n v="657000"/>
    <n v="77842"/>
    <n v="1.1028852920478536"/>
    <n v="717899.44503201509"/>
    <n v="821133.17473559862"/>
    <n v="4.7898385318528094E-2"/>
    <n v="-103233.73071"/>
    <n v="87214.824999999997"/>
    <n v="87214.824999999997"/>
    <n v="-14962.572388013552"/>
    <n v="46722.525125"/>
    <n v="106557.38887"/>
    <n v="4612.8107499999996"/>
    <n v="210013.71536"/>
    <n v="0"/>
    <n v="0"/>
    <n v="22658.057135999999"/>
    <n v="182791.80000000002"/>
    <n v="0"/>
    <n v="42091.021999999997"/>
    <n v="46218.789263999999"/>
    <n v="717899.45540698653"/>
    <n v="77800"/>
    <n v="645600"/>
    <n v="72300"/>
    <n v="795700"/>
    <n v="1.1199155524278677"/>
    <n v="1.5441551812149056E-2"/>
    <n v="0.97570000000000001"/>
    <n v="0.98329999999999995"/>
    <n v="0.9748"/>
    <n v="1.034"/>
    <n v="1.0059"/>
    <n v="0.92691499999999993"/>
    <n v="0.92409541799979145"/>
    <n v="742300"/>
    <n v="72200"/>
    <n v="814500"/>
    <n v="67000"/>
    <n v="881500"/>
    <n v="0.23972602739726026"/>
    <n v="-0.47077409162717221"/>
    <n v="0.12493619193466055"/>
    <n v="1.0953782819000704"/>
  </r>
  <r>
    <n v="2025"/>
    <n v="18131741420"/>
    <n v="-0.52763274208237199"/>
    <n v="0.59"/>
    <n v="25559"/>
    <n v="1"/>
    <s v="RES"/>
    <s v="HE"/>
    <x v="0"/>
    <s v="SR"/>
    <n v="11"/>
    <n v="259"/>
    <s v="CU"/>
    <s v="V+"/>
    <s v="VG"/>
    <n v="1999"/>
    <n v="1999"/>
    <x v="2"/>
    <n v="25"/>
    <n v="25"/>
    <n v="2"/>
    <n v="2241"/>
    <n v="1404"/>
    <n v="0"/>
    <n v="0"/>
    <n v="0"/>
    <n v="0"/>
    <n v="3645"/>
    <n v="4000"/>
    <n v="0"/>
    <s v="B"/>
    <s v="FD"/>
    <s v="G"/>
    <s v="Y"/>
    <n v="0"/>
    <n v="2"/>
    <n v="0"/>
    <n v="0"/>
    <n v="1"/>
    <n v="15"/>
    <n v="887"/>
    <n v="0"/>
    <n v="887"/>
    <n v="0"/>
    <n v="0"/>
    <n v="1281"/>
    <n v="0"/>
    <n v="100"/>
    <n v="100"/>
    <n v="907507"/>
    <n v="871207"/>
    <n v="1063"/>
    <n v="365"/>
    <n v="365"/>
    <n v="333"/>
    <d v="2021-02-02T00:00:00"/>
    <s v="E030013"/>
    <n v="742000"/>
    <n v="685513"/>
    <s v="SWD"/>
    <n v="30"/>
    <s v="N"/>
    <s v="Y"/>
    <n v="788200"/>
    <n v="130600"/>
    <n v="657600"/>
    <n v="56487"/>
    <n v="1.0622641509433963"/>
    <n v="776902.10599380836"/>
    <n v="902662.61721764645"/>
    <n v="0.1452202705121117"/>
    <n v="-125760.50871000001"/>
    <n v="87214.824999999997"/>
    <n v="87214.824999999997"/>
    <n v="-13205.511013395326"/>
    <n v="141724.10243"/>
    <n v="106557.38887"/>
    <n v="4612.8107499999996"/>
    <n v="154816.03161900002"/>
    <n v="85902.58170000001"/>
    <n v="0"/>
    <n v="0"/>
    <n v="152326.5"/>
    <n v="50547.245999999999"/>
    <n v="0"/>
    <n v="44951.826839000001"/>
    <n v="776902.11848460475"/>
    <n v="56500"/>
    <n v="702900"/>
    <n v="74000"/>
    <n v="833400"/>
    <n v="1.1231805929919136"/>
    <n v="5.7345851306774928E-2"/>
    <n v="0.97570000000000001"/>
    <n v="1.0051000000000001"/>
    <n v="0.9748"/>
    <n v="1.034"/>
    <n v="1.0059"/>
    <n v="0.92691499999999993"/>
    <n v="0.94458283802663534"/>
    <n v="823800"/>
    <n v="52400"/>
    <n v="876200"/>
    <n v="68600"/>
    <n v="944800"/>
    <n v="0.33242092457420924"/>
    <n v="-0.47473200612557426"/>
    <n v="0.19868053793453438"/>
    <n v="1.1038268076684636"/>
  </r>
  <r>
    <n v="2025"/>
    <n v="18131741420"/>
    <n v="-0.52763274208237199"/>
    <n v="0.59"/>
    <n v="25559"/>
    <n v="1"/>
    <s v="RES"/>
    <n v="3041"/>
    <x v="0"/>
    <s v="SR"/>
    <n v="11"/>
    <n v="331"/>
    <s v="CU"/>
    <s v="X"/>
    <s v="GD"/>
    <n v="1999"/>
    <n v="1999"/>
    <x v="2"/>
    <n v="25"/>
    <n v="25"/>
    <n v="2"/>
    <n v="2241"/>
    <n v="1404"/>
    <n v="0"/>
    <n v="0"/>
    <n v="0"/>
    <n v="0"/>
    <n v="3645"/>
    <n v="4000"/>
    <n v="3"/>
    <s v="B"/>
    <s v="FD"/>
    <s v="G"/>
    <s v="Y"/>
    <n v="0"/>
    <n v="0"/>
    <n v="2"/>
    <n v="0"/>
    <n v="1"/>
    <n v="15"/>
    <n v="887"/>
    <n v="0"/>
    <n v="887"/>
    <n v="0"/>
    <n v="0"/>
    <n v="1281"/>
    <n v="0"/>
    <n v="100"/>
    <n v="100"/>
    <n v="1357041"/>
    <n v="1289189"/>
    <n v="179"/>
    <n v="179"/>
    <n v="0"/>
    <n v="0"/>
    <d v="2023-07-06T00:00:00"/>
    <s v="E040756"/>
    <n v="1200000"/>
    <n v="1143513"/>
    <s v="SWD"/>
    <n v="30"/>
    <s v="N"/>
    <s v="Y"/>
    <n v="788200"/>
    <n v="130600"/>
    <n v="657600"/>
    <n v="56487"/>
    <n v="0.65683333333333338"/>
    <n v="1226220.5760104805"/>
    <n v="1254531.5673377723"/>
    <n v="0.59164116637626529"/>
    <n v="-28310.998"/>
    <n v="87214.824999999997"/>
    <n v="87214.824999999997"/>
    <n v="-13205.511013395326"/>
    <n v="519241.74659"/>
    <n v="47273.897095"/>
    <n v="4612.8107499999996"/>
    <n v="154816.03161900002"/>
    <n v="85902.58170000001"/>
    <n v="0"/>
    <n v="0"/>
    <n v="152326.5"/>
    <n v="0"/>
    <n v="84182.043999999994"/>
    <n v="44951.826839000001"/>
    <n v="1226220.5795796046"/>
    <n v="56500"/>
    <n v="1152200"/>
    <n v="74000"/>
    <n v="1282700"/>
    <n v="1.0689166666666667"/>
    <n v="0.62737883785841153"/>
    <n v="0.97570000000000001"/>
    <n v="0.99960000000000004"/>
    <n v="0.97829999999999995"/>
    <n v="1.034"/>
    <n v="1.0059"/>
    <n v="0.92691499999999993"/>
    <n v="0.94278694077243463"/>
    <n v="1175500"/>
    <n v="52400"/>
    <n v="1227900"/>
    <n v="68600"/>
    <n v="1296500"/>
    <n v="0.86724452554744524"/>
    <n v="-0.47473200612557426"/>
    <n v="0.64488708449632071"/>
    <n v="1.0568241683333335"/>
  </r>
  <r>
    <n v="2025"/>
    <n v="18131731417"/>
    <n v="-0.35667494393873245"/>
    <n v="0.7"/>
    <n v="0"/>
    <n v="1"/>
    <s v="RES"/>
    <s v="HE"/>
    <x v="0"/>
    <s v="SR"/>
    <n v="11"/>
    <n v="259"/>
    <s v="CP"/>
    <s v="G"/>
    <s v="GD"/>
    <n v="1998"/>
    <n v="1998"/>
    <x v="2"/>
    <n v="26"/>
    <n v="26"/>
    <n v="1"/>
    <n v="2993"/>
    <n v="0"/>
    <n v="0"/>
    <n v="0"/>
    <n v="0"/>
    <n v="0"/>
    <n v="2993"/>
    <n v="3000"/>
    <n v="3"/>
    <s v="B"/>
    <s v="FD"/>
    <s v="E"/>
    <s v="Y"/>
    <n v="0"/>
    <n v="0"/>
    <n v="1"/>
    <n v="1"/>
    <n v="1"/>
    <n v="13"/>
    <n v="1327"/>
    <n v="0"/>
    <n v="1327"/>
    <n v="0"/>
    <n v="0"/>
    <n v="180"/>
    <n v="0"/>
    <n v="100"/>
    <n v="100"/>
    <n v="594021"/>
    <n v="534619"/>
    <n v="461"/>
    <n v="365"/>
    <n v="96"/>
    <n v="0"/>
    <d v="2022-09-27T00:00:00"/>
    <s v="E038239"/>
    <n v="700000"/>
    <n v="689264"/>
    <s v="SWD"/>
    <n v="30"/>
    <s v="N"/>
    <s v="Y"/>
    <n v="573800"/>
    <n v="140300"/>
    <n v="433500"/>
    <n v="10736"/>
    <n v="0.81971428571428573"/>
    <n v="602773.60097982245"/>
    <n v="651368.84097378259"/>
    <n v="0.13518445621084452"/>
    <n v="-48595.253584000006"/>
    <n v="87214.824999999997"/>
    <n v="87214.824999999997"/>
    <n v="-8926.8055689572302"/>
    <n v="-14329.694740000001"/>
    <n v="47273.897095"/>
    <n v="4797.3231799999994"/>
    <n v="206766.79278700001"/>
    <n v="0"/>
    <n v="0"/>
    <n v="0"/>
    <n v="132016.30000000002"/>
    <n v="0"/>
    <n v="42091.021999999997"/>
    <n v="67250.365518999999"/>
    <n v="602773.59668804274"/>
    <n v="10700"/>
    <n v="524500"/>
    <n v="78300"/>
    <n v="613500"/>
    <n v="0.87642857142857145"/>
    <n v="6.9187870338096896E-2"/>
    <n v="0.97570000000000001"/>
    <n v="0.98809999999999998"/>
    <n v="0.97829999999999995"/>
    <n v="0.93310000000000004"/>
    <n v="1.0059"/>
    <n v="0.92691499999999993"/>
    <n v="0.84099973833922836"/>
    <n v="559200"/>
    <n v="10000"/>
    <n v="569200"/>
    <n v="72600"/>
    <n v="641800"/>
    <n v="0.31303344867358707"/>
    <n v="-0.48253741981468284"/>
    <n v="0.11850819100731963"/>
    <n v="0.84743535202285702"/>
  </r>
  <r>
    <n v="2025"/>
    <n v="18131733430"/>
    <n v="-0.59783700075562041"/>
    <n v="0.55000000000000004"/>
    <n v="23880"/>
    <n v="1"/>
    <s v="RES"/>
    <n v="3041"/>
    <x v="0"/>
    <s v="SR"/>
    <n v="11"/>
    <n v="259"/>
    <s v="CP"/>
    <s v="G+"/>
    <s v="VG"/>
    <n v="1998"/>
    <n v="1998"/>
    <x v="2"/>
    <n v="26"/>
    <n v="26"/>
    <n v="2"/>
    <n v="2295"/>
    <n v="870"/>
    <n v="176"/>
    <n v="0"/>
    <n v="0"/>
    <n v="0"/>
    <n v="3341"/>
    <n v="3500"/>
    <n v="3"/>
    <s v="S"/>
    <s v="FD"/>
    <s v="G"/>
    <s v="Y"/>
    <n v="0"/>
    <n v="0"/>
    <n v="2"/>
    <n v="0"/>
    <n v="0"/>
    <n v="11"/>
    <n v="743"/>
    <n v="0"/>
    <n v="743"/>
    <n v="0"/>
    <n v="0"/>
    <n v="458"/>
    <n v="0"/>
    <n v="100"/>
    <n v="100"/>
    <n v="657946"/>
    <n v="618469"/>
    <n v="1007"/>
    <n v="365"/>
    <n v="365"/>
    <n v="277"/>
    <d v="2021-03-30T00:00:00"/>
    <s v="E030578"/>
    <n v="675000"/>
    <n v="675000"/>
    <s v="SWD"/>
    <n v="30"/>
    <s v="N"/>
    <s v="Y"/>
    <n v="664200"/>
    <n v="126600"/>
    <n v="537600"/>
    <n v="0"/>
    <n v="0.98399999999999999"/>
    <n v="635119.51456121984"/>
    <n v="743599.20708458871"/>
    <n v="0.11954111274403599"/>
    <n v="-108479.69271"/>
    <n v="87214.824999999997"/>
    <n v="87214.824999999997"/>
    <n v="-14962.572388013552"/>
    <n v="19189.450408000001"/>
    <n v="106557.38887"/>
    <n v="4797.3231799999994"/>
    <n v="158546.538405"/>
    <n v="53230.232250000001"/>
    <n v="8268.9374239999997"/>
    <n v="0"/>
    <n v="111706.1"/>
    <n v="0"/>
    <n v="84182.043999999994"/>
    <n v="37654.123270999997"/>
    <n v="635119.52270998643"/>
    <n v="0"/>
    <n v="562900"/>
    <n v="72300"/>
    <n v="635200"/>
    <n v="0.94103703703703701"/>
    <n v="-4.3661547726588375E-2"/>
    <n v="0.97570000000000001"/>
    <n v="0.9819"/>
    <n v="0.9748"/>
    <n v="0.99619999999999997"/>
    <n v="1.0059"/>
    <n v="0.92691499999999993"/>
    <n v="0.88904559885921397"/>
    <n v="661700"/>
    <n v="0"/>
    <n v="661700"/>
    <n v="67000"/>
    <n v="728700"/>
    <n v="0.23084077380952381"/>
    <n v="-0.47077409162717221"/>
    <n v="9.7109304426377593E-2"/>
    <n v="0.91884489968888894"/>
  </r>
  <r>
    <n v="2025"/>
    <n v="18131523006"/>
    <n v="-1.3093333199837622"/>
    <n v="0.27"/>
    <n v="11861"/>
    <n v="5"/>
    <s v="RES"/>
    <n v="3041"/>
    <x v="0"/>
    <s v="R1"/>
    <n v="11"/>
    <m/>
    <s v="CP"/>
    <s v="V"/>
    <s v="GD"/>
    <n v="1998"/>
    <n v="1998"/>
    <x v="2"/>
    <n v="26"/>
    <n v="26"/>
    <n v="1"/>
    <n v="2219"/>
    <n v="0"/>
    <n v="0"/>
    <n v="1468"/>
    <n v="1468"/>
    <n v="0"/>
    <n v="3687"/>
    <n v="4000"/>
    <n v="0"/>
    <s v="B"/>
    <s v="FD"/>
    <s v="G"/>
    <s v="Y"/>
    <n v="1"/>
    <n v="1"/>
    <n v="0"/>
    <n v="0"/>
    <n v="1"/>
    <n v="13"/>
    <n v="0"/>
    <n v="744"/>
    <n v="744"/>
    <n v="0"/>
    <n v="0"/>
    <n v="374"/>
    <n v="64"/>
    <n v="100"/>
    <n v="100"/>
    <n v="710269"/>
    <n v="667653"/>
    <n v="185"/>
    <n v="185"/>
    <n v="0"/>
    <n v="0"/>
    <d v="2023-06-30T00:00:00"/>
    <s v="E040693"/>
    <n v="583000"/>
    <n v="583000"/>
    <s v="SWD"/>
    <n v="30"/>
    <s v="N"/>
    <s v="Y"/>
    <n v="538100"/>
    <n v="86200"/>
    <n v="451900"/>
    <n v="0"/>
    <n v="0.92298456260720407"/>
    <n v="601482.06109601585"/>
    <n v="630742.02419964154"/>
    <n v="0.17216507006066073"/>
    <n v="-29259.97"/>
    <n v="87214.824999999997"/>
    <n v="87214.824999999997"/>
    <n v="-32769.792695222328"/>
    <n v="46722.525125"/>
    <n v="47273.897095"/>
    <n v="4797.3231799999994"/>
    <n v="153296.19552100002"/>
    <n v="0"/>
    <n v="0"/>
    <n v="41997.509943999998"/>
    <n v="132016.30000000002"/>
    <n v="25273.623"/>
    <n v="0"/>
    <n v="37704.801767999998"/>
    <n v="601482.06293777772"/>
    <n v="0"/>
    <n v="547000"/>
    <n v="54400"/>
    <n v="601400"/>
    <n v="1.0315608919382504"/>
    <n v="0.11763612711391934"/>
    <n v="0.97570000000000001"/>
    <n v="0.98329999999999995"/>
    <n v="0.97829999999999995"/>
    <n v="1.034"/>
    <n v="1.0059"/>
    <n v="0.92691499999999993"/>
    <n v="0.92741336420721787"/>
    <n v="570000"/>
    <n v="0"/>
    <n v="570000"/>
    <n v="50500"/>
    <n v="620500"/>
    <n v="0.26134100464704579"/>
    <n v="-0.41415313225058004"/>
    <n v="0.15313138821780339"/>
    <n v="1.0141338421955404"/>
  </r>
  <r>
    <n v="2025"/>
    <n v="18131912408"/>
    <n v="-0.59783700075562041"/>
    <n v="0.55000000000000004"/>
    <n v="0"/>
    <n v="1"/>
    <s v="RES"/>
    <n v="3042"/>
    <x v="0"/>
    <s v="R1"/>
    <n v="11"/>
    <n v="259"/>
    <s v="CP"/>
    <s v="G"/>
    <s v="GD"/>
    <n v="1997"/>
    <n v="1997"/>
    <x v="2"/>
    <n v="27"/>
    <n v="27"/>
    <n v="1"/>
    <n v="1736"/>
    <n v="0"/>
    <n v="0"/>
    <n v="668"/>
    <n v="668"/>
    <n v="0"/>
    <n v="2404"/>
    <n v="2500"/>
    <n v="2"/>
    <m/>
    <s v="FD"/>
    <s v="E"/>
    <s v="Y"/>
    <n v="0"/>
    <n v="0"/>
    <n v="1"/>
    <n v="0"/>
    <n v="0"/>
    <n v="11"/>
    <n v="576"/>
    <n v="0"/>
    <n v="576"/>
    <n v="0"/>
    <n v="266"/>
    <n v="209"/>
    <n v="0"/>
    <n v="100"/>
    <n v="100"/>
    <n v="428016"/>
    <n v="389495"/>
    <n v="894"/>
    <n v="365"/>
    <n v="365"/>
    <n v="164"/>
    <d v="2021-07-21T00:00:00"/>
    <s v="E032293"/>
    <n v="514500"/>
    <n v="514500"/>
    <s v="SWD"/>
    <n v="30"/>
    <s v="N"/>
    <s v="Y"/>
    <n v="475000"/>
    <n v="126600"/>
    <n v="348400"/>
    <n v="0"/>
    <n v="0.92322643343051503"/>
    <n v="445811.04325766751"/>
    <n v="519420.51233187533"/>
    <n v="9.3516868067105963E-2"/>
    <n v="-73609.47471000001"/>
    <n v="87214.824999999997"/>
    <n v="87214.824999999997"/>
    <n v="-14962.572388013552"/>
    <n v="-14329.694740000001"/>
    <n v="47273.897095"/>
    <n v="4981.8356100000001"/>
    <n v="119928.88482400001"/>
    <n v="0"/>
    <n v="0"/>
    <n v="19110.583543999997"/>
    <n v="111706.1"/>
    <n v="0"/>
    <n v="42091.021999999997"/>
    <n v="29190.814272"/>
    <n v="445811.04550698644"/>
    <n v="0"/>
    <n v="373600"/>
    <n v="72300"/>
    <n v="445900"/>
    <n v="0.8666666666666667"/>
    <n v="-6.1263157894736839E-2"/>
    <n v="0.97570000000000001"/>
    <n v="0.98809999999999998"/>
    <n v="0.97829999999999995"/>
    <n v="0.93440000000000001"/>
    <n v="1.0059"/>
    <n v="0.92691499999999993"/>
    <n v="0.8421714237532687"/>
    <n v="433400"/>
    <n v="0"/>
    <n v="433400"/>
    <n v="67000"/>
    <n v="500400"/>
    <n v="0.24397244546498278"/>
    <n v="-0.47077409162717221"/>
    <n v="5.3473684210526319E-2"/>
    <n v="0.82952483049562686"/>
  </r>
  <r>
    <n v="2025"/>
    <n v="18131744453"/>
    <n v="0.53062825106217038"/>
    <n v="1.7"/>
    <n v="74178"/>
    <n v="5"/>
    <s v="RES"/>
    <s v="HE"/>
    <x v="0"/>
    <s v="R1"/>
    <n v="11"/>
    <n v="331"/>
    <s v="CU"/>
    <s v="X"/>
    <s v="VG"/>
    <n v="1997"/>
    <n v="1997"/>
    <x v="2"/>
    <n v="27"/>
    <n v="27"/>
    <n v="2"/>
    <n v="5309"/>
    <n v="3755"/>
    <n v="0"/>
    <n v="0"/>
    <n v="0"/>
    <n v="0"/>
    <n v="9064"/>
    <n v="9500"/>
    <n v="3"/>
    <m/>
    <s v="FD"/>
    <s v="G"/>
    <s v="Y"/>
    <n v="0"/>
    <n v="3"/>
    <n v="0"/>
    <n v="1"/>
    <n v="3"/>
    <n v="24"/>
    <n v="1300"/>
    <n v="0"/>
    <n v="1300"/>
    <n v="0"/>
    <n v="0"/>
    <n v="3142"/>
    <n v="812"/>
    <n v="100"/>
    <n v="100"/>
    <n v="3307284"/>
    <n v="3141920"/>
    <n v="811"/>
    <n v="365"/>
    <n v="365"/>
    <n v="81"/>
    <d v="2021-10-12T00:00:00"/>
    <s v="E033682"/>
    <n v="1712500"/>
    <n v="1712500"/>
    <s v="SWD"/>
    <n v="30"/>
    <s v="N"/>
    <s v="Y"/>
    <n v="1909800"/>
    <n v="190000"/>
    <n v="1719800"/>
    <n v="0"/>
    <n v="1.1152116788321167"/>
    <n v="1752430.2377754571"/>
    <n v="1800427.0648471836"/>
    <n v="-5.7269313620701832E-2"/>
    <n v="-47996.836710000003"/>
    <n v="87214.824999999997"/>
    <n v="87214.824999999997"/>
    <n v="13280.482150833337"/>
    <n v="519241.74659"/>
    <n v="106557.38887"/>
    <n v="4981.8356100000001"/>
    <n v="366764.08383100003"/>
    <n v="229746.57712500001"/>
    <n v="0"/>
    <n v="0"/>
    <n v="243722.40000000002"/>
    <n v="75820.869000000006"/>
    <n v="0"/>
    <n v="65882.046100000007"/>
    <n v="1752430.2425668333"/>
    <n v="0"/>
    <n v="1651900"/>
    <n v="100500"/>
    <n v="1752400"/>
    <n v="1.0232992700729926"/>
    <n v="-8.2417007016441515E-2"/>
    <n v="0.97570000000000001"/>
    <n v="0.99960000000000004"/>
    <n v="0.9748"/>
    <n v="0.97719999999999996"/>
    <n v="1.0059"/>
    <n v="0.92691499999999993"/>
    <n v="0.88780982057262325"/>
    <n v="1690100"/>
    <n v="0"/>
    <n v="1690100"/>
    <n v="93200"/>
    <n v="1783300"/>
    <n v="-1.7269449936039075E-2"/>
    <n v="-0.5094736842105263"/>
    <n v="-6.6237302335323073E-2"/>
    <n v="1.013315715789781"/>
  </r>
  <r>
    <n v="2025"/>
    <n v="18131744436"/>
    <n v="-0.67334455326376563"/>
    <n v="0.51"/>
    <n v="22113"/>
    <n v="5"/>
    <s v="RES"/>
    <n v="3041"/>
    <x v="0"/>
    <s v="R1"/>
    <n v="11"/>
    <n v="331"/>
    <s v="CU"/>
    <s v="E+"/>
    <s v="VG"/>
    <n v="1996"/>
    <n v="1996"/>
    <x v="2"/>
    <n v="28"/>
    <n v="28"/>
    <n v="1"/>
    <n v="3031"/>
    <n v="0"/>
    <n v="0"/>
    <n v="1364"/>
    <n v="1348"/>
    <n v="16"/>
    <n v="4379"/>
    <n v="4500"/>
    <n v="3"/>
    <m/>
    <s v="FD"/>
    <s v="G"/>
    <s v="Y"/>
    <n v="0"/>
    <n v="0"/>
    <n v="2"/>
    <n v="2"/>
    <n v="1"/>
    <n v="20"/>
    <n v="1088"/>
    <n v="0"/>
    <n v="1088"/>
    <n v="0"/>
    <n v="0"/>
    <n v="645"/>
    <n v="0"/>
    <n v="100"/>
    <n v="100"/>
    <n v="1437673"/>
    <n v="1351413"/>
    <n v="202"/>
    <n v="202"/>
    <n v="0"/>
    <n v="0"/>
    <d v="2023-06-13T00:00:00"/>
    <s v="E040561"/>
    <n v="1295000"/>
    <n v="1295000"/>
    <s v="SWD"/>
    <n v="30"/>
    <s v="N"/>
    <s v="Y"/>
    <n v="1198300"/>
    <n v="120000"/>
    <n v="1078300"/>
    <n v="0"/>
    <n v="0.92532818532818528"/>
    <n v="1199024.5718184251"/>
    <n v="1230973.28828833"/>
    <n v="2.7266367594366986E-2"/>
    <n v="-31948.724000000002"/>
    <n v="87214.824999999997"/>
    <n v="87214.824999999997"/>
    <n v="-16852.363784024325"/>
    <n v="370835.85488"/>
    <n v="106557.38887"/>
    <n v="5166.3480399999999"/>
    <n v="209391.964229"/>
    <n v="0"/>
    <n v="0"/>
    <n v="39022.209512000001"/>
    <n v="203102"/>
    <n v="0"/>
    <n v="84182.043999999994"/>
    <n v="55138.204736"/>
    <n v="1199024.5764829756"/>
    <n v="0"/>
    <n v="1128700"/>
    <n v="70400"/>
    <n v="1199100"/>
    <n v="0.92594594594594593"/>
    <n v="6.6761245097221068E-4"/>
    <n v="0.97570000000000001"/>
    <n v="0.99470000000000003"/>
    <n v="0.9748"/>
    <n v="1.0087999999999999"/>
    <n v="1.0059"/>
    <n v="0.92691499999999993"/>
    <n v="0.91202644329794536"/>
    <n v="1152900"/>
    <n v="0"/>
    <n v="1152900"/>
    <n v="65200"/>
    <n v="1218100"/>
    <n v="6.918297319855328E-2"/>
    <n v="-0.45666666666666667"/>
    <n v="1.6523408161562215E-2"/>
    <n v="0.91594693127413129"/>
  </r>
  <r>
    <n v="2025"/>
    <n v="17132424433"/>
    <n v="0"/>
    <n v="1"/>
    <n v="43563"/>
    <n v="1"/>
    <s v="RES"/>
    <n v="3042"/>
    <x v="0"/>
    <s v="R1"/>
    <n v="11"/>
    <n v="259"/>
    <s v="CP"/>
    <s v="G+"/>
    <s v="GD"/>
    <n v="1996"/>
    <n v="1996"/>
    <x v="2"/>
    <n v="28"/>
    <n v="28"/>
    <n v="1"/>
    <n v="2104"/>
    <n v="0"/>
    <n v="312"/>
    <n v="0"/>
    <n v="0"/>
    <n v="0"/>
    <n v="2416"/>
    <n v="2500"/>
    <n v="3"/>
    <s v="B"/>
    <s v="FD"/>
    <s v="E"/>
    <s v="Y"/>
    <n v="0"/>
    <n v="0"/>
    <n v="1"/>
    <n v="1"/>
    <n v="0"/>
    <n v="13"/>
    <n v="568"/>
    <n v="0"/>
    <n v="568"/>
    <n v="0"/>
    <n v="0"/>
    <n v="144"/>
    <n v="0"/>
    <n v="100"/>
    <n v="100"/>
    <n v="487816"/>
    <n v="448791"/>
    <n v="480"/>
    <n v="365"/>
    <n v="115"/>
    <n v="0"/>
    <d v="2022-09-08T00:00:00"/>
    <s v="E038071"/>
    <n v="565000"/>
    <n v="534479"/>
    <s v="SWD"/>
    <n v="30"/>
    <s v="N"/>
    <s v="Y"/>
    <n v="631900"/>
    <n v="160500"/>
    <n v="471400"/>
    <n v="30521"/>
    <n v="1.1184070796460177"/>
    <n v="562174.71992086479"/>
    <n v="608962.213544055"/>
    <n v="-3.6299709536231989E-2"/>
    <n v="-46787.507210000003"/>
    <n v="87214.824999999997"/>
    <n v="87214.824999999997"/>
    <n v="0"/>
    <n v="19189.450408000001"/>
    <n v="47273.897095"/>
    <n v="5166.3480399999999"/>
    <n v="145351.597736"/>
    <n v="0"/>
    <n v="14658.570888"/>
    <n v="0"/>
    <n v="132016.30000000002"/>
    <n v="0"/>
    <n v="42091.021999999997"/>
    <n v="28785.386296000001"/>
    <n v="562174.71525300003"/>
    <n v="30500"/>
    <n v="475000"/>
    <n v="87200"/>
    <n v="592700"/>
    <n v="1.0490265486725663"/>
    <n v="-6.2035132141161575E-2"/>
    <n v="0.97570000000000001"/>
    <n v="0.9819"/>
    <n v="0.97829999999999995"/>
    <n v="0.93440000000000001"/>
    <n v="1.0059"/>
    <n v="0.92691499999999993"/>
    <n v="0.83688707720203892"/>
    <n v="507500"/>
    <n v="28300"/>
    <n v="535800"/>
    <n v="80800"/>
    <n v="616600"/>
    <n v="0.13661434026304625"/>
    <n v="-0.49657320872274141"/>
    <n v="-2.4212691881626839E-2"/>
    <n v="1.0085176863539824"/>
  </r>
  <r>
    <n v="2025"/>
    <n v="18131742437"/>
    <n v="-0.26136476413440751"/>
    <n v="0.77"/>
    <n v="0"/>
    <n v="1"/>
    <s v="RES"/>
    <s v="HE"/>
    <x v="0"/>
    <s v="SR"/>
    <n v="11"/>
    <n v="259"/>
    <s v="CU"/>
    <s v="E"/>
    <s v="VG"/>
    <n v="1995"/>
    <n v="1995"/>
    <x v="2"/>
    <n v="29"/>
    <n v="29"/>
    <n v="2"/>
    <n v="1616"/>
    <n v="1638"/>
    <n v="0"/>
    <n v="0"/>
    <n v="0"/>
    <n v="0"/>
    <n v="3254"/>
    <n v="3500"/>
    <n v="3"/>
    <m/>
    <s v="FD"/>
    <s v="G"/>
    <s v="Y"/>
    <n v="0"/>
    <n v="2"/>
    <n v="0"/>
    <n v="0"/>
    <n v="1"/>
    <n v="13"/>
    <n v="0"/>
    <n v="1102"/>
    <n v="1102"/>
    <n v="0"/>
    <n v="216"/>
    <n v="0"/>
    <n v="0"/>
    <n v="100"/>
    <n v="100"/>
    <n v="929744"/>
    <n v="873959"/>
    <n v="542"/>
    <n v="365"/>
    <n v="177"/>
    <n v="0"/>
    <d v="2022-07-08T00:00:00"/>
    <s v="E037251"/>
    <n v="1050000"/>
    <n v="968787"/>
    <s v="SWD"/>
    <n v="30"/>
    <s v="N"/>
    <s v="Y"/>
    <n v="873900"/>
    <n v="145700"/>
    <n v="728200"/>
    <n v="81213"/>
    <n v="0.8322857142857143"/>
    <n v="932518.12362439348"/>
    <n v="973406.65540612373"/>
    <n v="0.11386503651003974"/>
    <n v="-40888.545358000003"/>
    <n v="87214.824999999997"/>
    <n v="87214.824999999997"/>
    <n v="-6541.3970665822753"/>
    <n v="243340.36395999999"/>
    <n v="106557.38887"/>
    <n v="5350.8604699999996"/>
    <n v="111638.86974400001"/>
    <n v="100219.67865"/>
    <n v="0"/>
    <n v="0"/>
    <n v="132016.30000000002"/>
    <n v="50547.245999999999"/>
    <n v="0"/>
    <n v="55847.703694000003"/>
    <n v="932518.11896341783"/>
    <n v="81200"/>
    <n v="851800"/>
    <n v="80700"/>
    <n v="1013700"/>
    <n v="0.96542857142857141"/>
    <n v="0.15997253690353588"/>
    <n v="0.97570000000000001"/>
    <n v="0.99519999999999997"/>
    <n v="0.9748"/>
    <n v="0.99619999999999997"/>
    <n v="1.0059"/>
    <n v="0.92691499999999993"/>
    <n v="0.90108787043964733"/>
    <n v="884100"/>
    <n v="75300"/>
    <n v="959400"/>
    <n v="74800"/>
    <n v="1034200"/>
    <n v="0.31749519362812412"/>
    <n v="-0.48661633493479756"/>
    <n v="0.18343059846664378"/>
    <n v="0.94601090918285713"/>
  </r>
  <r>
    <n v="2025"/>
    <n v="18131723412"/>
    <n v="2.9558802241544429E-2"/>
    <n v="1.03"/>
    <n v="44958"/>
    <n v="1"/>
    <s v="RES"/>
    <s v="HE"/>
    <x v="0"/>
    <s v="R1"/>
    <n v="11"/>
    <n v="259"/>
    <s v="CU"/>
    <s v="E+"/>
    <s v="VG"/>
    <n v="1995"/>
    <n v="1995"/>
    <x v="2"/>
    <n v="29"/>
    <n v="29"/>
    <n v="2"/>
    <n v="2615"/>
    <n v="1320"/>
    <n v="0"/>
    <n v="0"/>
    <n v="0"/>
    <n v="0"/>
    <n v="3935"/>
    <n v="4000"/>
    <n v="0"/>
    <m/>
    <s v="FD"/>
    <s v="G"/>
    <s v="Y"/>
    <n v="0"/>
    <n v="0"/>
    <n v="4"/>
    <n v="0"/>
    <n v="0"/>
    <n v="15"/>
    <n v="0"/>
    <n v="0"/>
    <n v="0"/>
    <n v="0"/>
    <n v="0"/>
    <n v="680"/>
    <n v="0"/>
    <n v="100"/>
    <n v="100"/>
    <n v="1216361"/>
    <n v="1143379"/>
    <n v="602"/>
    <n v="365"/>
    <n v="237"/>
    <n v="0"/>
    <d v="2022-05-09T00:00:00"/>
    <s v="E036743"/>
    <n v="1350000"/>
    <n v="1230432"/>
    <s v="SWD"/>
    <n v="30"/>
    <s v="N"/>
    <s v="Y"/>
    <n v="1117300"/>
    <n v="160000"/>
    <n v="957300"/>
    <n v="119568"/>
    <n v="0.8276296296296296"/>
    <n v="1204840.6226287547"/>
    <n v="1240020.481660685"/>
    <n v="0.10983664339092906"/>
    <n v="-35179.872598000002"/>
    <n v="87214.824999999997"/>
    <n v="87214.824999999997"/>
    <n v="739.79315044582881"/>
    <n v="370835.85488"/>
    <n v="106557.38887"/>
    <n v="5350.8604699999996"/>
    <n v="180653.24528500001"/>
    <n v="80763.111000000004"/>
    <n v="0"/>
    <n v="0"/>
    <n v="152326.5"/>
    <n v="0"/>
    <n v="168364.08799999999"/>
    <n v="0"/>
    <n v="1204840.6190574458"/>
    <n v="119600"/>
    <n v="1116900"/>
    <n v="88000"/>
    <n v="1324500"/>
    <n v="0.98111111111111116"/>
    <n v="0.18544705987648796"/>
    <n v="0.97570000000000001"/>
    <n v="0.99470000000000003"/>
    <n v="0.9748"/>
    <n v="1.034"/>
    <n v="1.0059"/>
    <n v="0.92691499999999993"/>
    <n v="0.93480902296795754"/>
    <n v="1146400"/>
    <n v="110800"/>
    <n v="1257200"/>
    <n v="81500"/>
    <n v="1338700"/>
    <n v="0.31327692468400709"/>
    <n v="-0.49062499999999998"/>
    <n v="0.19815626957844804"/>
    <n v="0.96557046474222219"/>
  </r>
  <r>
    <n v="2025"/>
    <n v="18131744444"/>
    <n v="-2.9957322735539909"/>
    <n v="0.05"/>
    <n v="2343"/>
    <n v="5"/>
    <s v="CON"/>
    <s v="HE"/>
    <x v="0"/>
    <s v="R1"/>
    <n v="11"/>
    <n v="262"/>
    <s v="CN"/>
    <s v="G+"/>
    <s v="GD"/>
    <n v="1995"/>
    <n v="1995"/>
    <x v="2"/>
    <n v="29"/>
    <n v="29"/>
    <n v="1"/>
    <n v="1770"/>
    <n v="0"/>
    <n v="0"/>
    <n v="0"/>
    <n v="0"/>
    <n v="0"/>
    <n v="1770"/>
    <n v="2000"/>
    <n v="2"/>
    <m/>
    <s v="FD"/>
    <s v="G"/>
    <s v="Y"/>
    <n v="0"/>
    <n v="0"/>
    <n v="1"/>
    <n v="0"/>
    <n v="0"/>
    <n v="10"/>
    <n v="573"/>
    <n v="0"/>
    <n v="573"/>
    <n v="0"/>
    <n v="0"/>
    <n v="0"/>
    <n v="0"/>
    <n v="100"/>
    <n v="100"/>
    <n v="336565"/>
    <n v="309640"/>
    <n v="475"/>
    <n v="365"/>
    <n v="110"/>
    <n v="0"/>
    <d v="2022-09-13T00:00:00"/>
    <s v="E038076"/>
    <n v="420000"/>
    <n v="420000"/>
    <s v="SWD"/>
    <n v="30"/>
    <s v="N"/>
    <s v="Y"/>
    <n v="374700"/>
    <n v="56200"/>
    <n v="318500"/>
    <n v="0"/>
    <n v="0.89214285714285713"/>
    <n v="418962.43035858421"/>
    <n v="466225.64671092445"/>
    <n v="0.24426380227094863"/>
    <n v="-47263.229940000005"/>
    <n v="87214.824999999997"/>
    <n v="87214.824999999997"/>
    <n v="-74976.725999739167"/>
    <n v="19189.450408000001"/>
    <n v="47273.897095"/>
    <n v="5350.8604699999996"/>
    <n v="122277.72243000001"/>
    <n v="0"/>
    <n v="0"/>
    <n v="0"/>
    <n v="101551"/>
    <n v="0"/>
    <n v="42091.021999999997"/>
    <n v="29038.778781000001"/>
    <n v="418962.42524426087"/>
    <n v="0"/>
    <n v="406700"/>
    <n v="12200"/>
    <n v="418900"/>
    <n v="0.99738095238095237"/>
    <n v="0.11796103549506272"/>
    <n v="0.97570000000000001"/>
    <n v="0.9819"/>
    <n v="0.97829999999999995"/>
    <n v="0.99099999999999999"/>
    <n v="1.0059"/>
    <n v="0.92691499999999993"/>
    <n v="0.88758036548289876"/>
    <n v="444200"/>
    <n v="0"/>
    <n v="444200"/>
    <n v="11300"/>
    <n v="455500"/>
    <n v="0.3946624803767661"/>
    <n v="-0.79893238434163705"/>
    <n v="0.21563917800907392"/>
    <n v="0.97199230966666672"/>
  </r>
  <r>
    <n v="2025"/>
    <n v="18131744448"/>
    <n v="-2.6592600369327779"/>
    <n v="7.0000000000000007E-2"/>
    <n v="2343"/>
    <n v="5"/>
    <s v="CON"/>
    <s v="YN1"/>
    <x v="0"/>
    <s v="R1"/>
    <n v="11"/>
    <n v="262"/>
    <s v="CN"/>
    <s v="G+"/>
    <s v="GD"/>
    <n v="1995"/>
    <n v="1995"/>
    <x v="2"/>
    <n v="29"/>
    <n v="29"/>
    <n v="1"/>
    <n v="1770"/>
    <n v="0"/>
    <n v="0"/>
    <n v="0"/>
    <n v="0"/>
    <n v="0"/>
    <n v="1770"/>
    <n v="2000"/>
    <n v="2"/>
    <m/>
    <s v="FD"/>
    <s v="G"/>
    <s v="Y"/>
    <n v="0"/>
    <n v="1"/>
    <n v="0"/>
    <n v="0"/>
    <n v="0"/>
    <n v="10"/>
    <n v="573"/>
    <n v="0"/>
    <n v="573"/>
    <n v="0"/>
    <n v="305"/>
    <n v="0"/>
    <n v="305"/>
    <n v="100"/>
    <n v="100"/>
    <n v="396902"/>
    <n v="365150"/>
    <n v="160"/>
    <n v="160"/>
    <n v="0"/>
    <n v="0"/>
    <d v="2023-07-25T00:00:00"/>
    <s v="E041035"/>
    <n v="468000"/>
    <n v="468000"/>
    <s v="SWD"/>
    <n v="30"/>
    <s v="N"/>
    <s v="Y"/>
    <n v="368800"/>
    <n v="55300"/>
    <n v="313500"/>
    <n v="0"/>
    <n v="0.78803418803418801"/>
    <n v="432523.50924843695"/>
    <n v="457829.42328400514"/>
    <n v="0.24140299155099007"/>
    <n v="-25305.920000000002"/>
    <n v="87214.824999999997"/>
    <n v="87214.824999999997"/>
    <n v="-66555.550678307874"/>
    <n v="19189.450408000001"/>
    <n v="47273.897095"/>
    <n v="5350.8604699999996"/>
    <n v="122277.72243000001"/>
    <n v="0"/>
    <n v="0"/>
    <n v="0"/>
    <n v="101551"/>
    <n v="25273.623"/>
    <n v="0"/>
    <n v="29038.778781000001"/>
    <n v="432523.51150569215"/>
    <n v="0"/>
    <n v="411900"/>
    <n v="20700"/>
    <n v="432600"/>
    <n v="0.92435897435897441"/>
    <n v="0.17299349240780912"/>
    <n v="0.97570000000000001"/>
    <n v="0.9819"/>
    <n v="0.97829999999999995"/>
    <n v="0.99099999999999999"/>
    <n v="1.0059"/>
    <n v="0.92691499999999993"/>
    <n v="0.88758036548289876"/>
    <n v="427400"/>
    <n v="0"/>
    <n v="427400"/>
    <n v="19100"/>
    <n v="446500"/>
    <n v="0.36331738437001593"/>
    <n v="-0.65461121157323687"/>
    <n v="0.21068329718004339"/>
    <n v="0.89998735042735045"/>
  </r>
  <r>
    <n v="2025"/>
    <n v="18131744446"/>
    <n v="-2.8134107167600364"/>
    <n v="0.06"/>
    <n v="2545"/>
    <n v="5"/>
    <s v="CON"/>
    <s v="HE"/>
    <x v="0"/>
    <s v="R1"/>
    <n v="11"/>
    <n v="262"/>
    <s v="CN"/>
    <s v="G+"/>
    <s v="GD"/>
    <n v="1995"/>
    <n v="1995"/>
    <x v="2"/>
    <n v="29"/>
    <n v="29"/>
    <n v="1"/>
    <n v="1999"/>
    <n v="0"/>
    <n v="0"/>
    <n v="0"/>
    <n v="0"/>
    <n v="0"/>
    <n v="1999"/>
    <n v="2000"/>
    <n v="2"/>
    <m/>
    <s v="FD"/>
    <s v="G"/>
    <s v="Y"/>
    <n v="0"/>
    <n v="0"/>
    <n v="1"/>
    <n v="0"/>
    <n v="0"/>
    <n v="10"/>
    <n v="546"/>
    <n v="0"/>
    <n v="546"/>
    <n v="0"/>
    <n v="0"/>
    <n v="350"/>
    <n v="0"/>
    <n v="100"/>
    <n v="100"/>
    <n v="349421"/>
    <n v="293514"/>
    <n v="801"/>
    <n v="365"/>
    <n v="365"/>
    <n v="71"/>
    <d v="2021-10-22T00:00:00"/>
    <s v="E033710"/>
    <n v="390000"/>
    <n v="390000"/>
    <s v="SWD"/>
    <n v="30"/>
    <s v="N"/>
    <s v="Y"/>
    <n v="395200"/>
    <n v="59300"/>
    <n v="335900"/>
    <n v="0"/>
    <n v="1.0133333333333334"/>
    <n v="440329.58869393228"/>
    <n v="485240.55528343224"/>
    <n v="0.22783541316657957"/>
    <n v="-44910.976710000003"/>
    <n v="87214.824999999997"/>
    <n v="87214.824999999997"/>
    <n v="-70413.610153819813"/>
    <n v="19189.450408000001"/>
    <n v="47273.897095"/>
    <n v="5350.8604699999996"/>
    <n v="138097.83454100002"/>
    <n v="0"/>
    <n v="0"/>
    <n v="0"/>
    <n v="101551"/>
    <n v="0"/>
    <n v="42091.021999999997"/>
    <n v="27670.459362000001"/>
    <n v="440329.58701218019"/>
    <n v="0"/>
    <n v="423500"/>
    <n v="16800"/>
    <n v="440300"/>
    <n v="1.128974358974359"/>
    <n v="0.11411943319838057"/>
    <n v="0.97570000000000001"/>
    <n v="0.9819"/>
    <n v="0.97829999999999995"/>
    <n v="0.99099999999999999"/>
    <n v="1.0059"/>
    <n v="0.92691499999999993"/>
    <n v="0.88758036548289876"/>
    <n v="458600"/>
    <n v="0"/>
    <n v="458600"/>
    <n v="15600"/>
    <n v="474200"/>
    <n v="0.36528728788329862"/>
    <n v="-0.73693086003372676"/>
    <n v="0.19989878542510123"/>
    <n v="1.1007410853589743"/>
  </r>
  <r>
    <n v="2025"/>
    <n v="18131742437"/>
    <n v="-0.26136476413440751"/>
    <n v="0.77"/>
    <n v="0"/>
    <n v="1"/>
    <s v="RES"/>
    <s v="HE"/>
    <x v="0"/>
    <s v="SR"/>
    <n v="11"/>
    <n v="259"/>
    <s v="CU"/>
    <s v="V+"/>
    <s v="VG"/>
    <n v="1995"/>
    <n v="1995"/>
    <x v="2"/>
    <n v="29"/>
    <n v="29"/>
    <n v="2"/>
    <n v="1616"/>
    <n v="1638"/>
    <n v="0"/>
    <n v="0"/>
    <n v="0"/>
    <n v="0"/>
    <n v="3254"/>
    <n v="3500"/>
    <n v="3"/>
    <m/>
    <s v="FD"/>
    <s v="G"/>
    <s v="Y"/>
    <n v="0"/>
    <n v="2"/>
    <n v="0"/>
    <n v="0"/>
    <n v="1"/>
    <n v="13"/>
    <n v="0"/>
    <n v="1102"/>
    <n v="1102"/>
    <n v="0"/>
    <n v="216"/>
    <n v="0"/>
    <n v="0"/>
    <n v="100"/>
    <n v="100"/>
    <n v="809641"/>
    <n v="761063"/>
    <n v="833"/>
    <n v="365"/>
    <n v="365"/>
    <n v="103"/>
    <d v="2021-09-20T00:00:00"/>
    <s v="E033210"/>
    <n v="950000"/>
    <n v="868787"/>
    <s v="SWD"/>
    <n v="30"/>
    <s v="N"/>
    <s v="Y"/>
    <n v="873900"/>
    <n v="145700"/>
    <n v="728200"/>
    <n v="81213"/>
    <n v="0.91989473684210521"/>
    <n v="817004.67374549911"/>
    <n v="871790.39387812419"/>
    <n v="-2.4140131844327855E-3"/>
    <n v="-54785.728710000003"/>
    <n v="87214.824999999997"/>
    <n v="87214.824999999997"/>
    <n v="-6541.3970665822753"/>
    <n v="141724.10243"/>
    <n v="106557.38887"/>
    <n v="5350.8604699999996"/>
    <n v="111638.86974400001"/>
    <n v="100219.67865"/>
    <n v="0"/>
    <n v="0"/>
    <n v="132016.30000000002"/>
    <n v="50547.245999999999"/>
    <n v="0"/>
    <n v="55847.703694000003"/>
    <n v="817004.67408141785"/>
    <n v="81200"/>
    <n v="736300"/>
    <n v="80700"/>
    <n v="898200"/>
    <n v="0.94547368421052636"/>
    <n v="2.7806385169927908E-2"/>
    <n v="0.97570000000000001"/>
    <n v="1.0051000000000001"/>
    <n v="0.9748"/>
    <n v="0.99619999999999997"/>
    <n v="1.0059"/>
    <n v="0.92691499999999993"/>
    <n v="0.91005166657846626"/>
    <n v="783300"/>
    <n v="75300"/>
    <n v="858600"/>
    <n v="74800"/>
    <n v="933400"/>
    <n v="0.17907168360340567"/>
    <n v="-0.48661633493479756"/>
    <n v="6.8085593317313189E-2"/>
    <n v="0.92485712767368411"/>
  </r>
  <r>
    <n v="2025"/>
    <n v="18131723407"/>
    <n v="-4.0821994520255166E-2"/>
    <n v="0.96"/>
    <n v="0"/>
    <n v="1"/>
    <s v="RES"/>
    <n v="3041"/>
    <x v="0"/>
    <s v="R1"/>
    <n v="11"/>
    <n v="259"/>
    <s v="CP"/>
    <s v="G+"/>
    <s v="VG"/>
    <n v="1994"/>
    <n v="1994"/>
    <x v="2"/>
    <n v="30"/>
    <n v="30"/>
    <n v="2"/>
    <n v="2580"/>
    <n v="1388"/>
    <n v="0"/>
    <n v="0"/>
    <n v="0"/>
    <n v="0"/>
    <n v="3968"/>
    <n v="4000"/>
    <n v="3"/>
    <s v="B"/>
    <s v="FD"/>
    <s v="G"/>
    <s v="Y"/>
    <n v="0"/>
    <n v="1"/>
    <n v="0"/>
    <n v="1"/>
    <n v="2"/>
    <n v="18"/>
    <n v="1112"/>
    <n v="0"/>
    <n v="1112"/>
    <n v="0"/>
    <n v="85"/>
    <n v="672"/>
    <n v="0"/>
    <n v="100"/>
    <n v="100"/>
    <n v="742595"/>
    <n v="690613"/>
    <n v="612"/>
    <n v="365"/>
    <n v="247"/>
    <n v="0"/>
    <d v="2022-04-29T00:00:00"/>
    <s v="E036223"/>
    <n v="1110000"/>
    <n v="918693"/>
    <s v="SWD"/>
    <n v="30"/>
    <s v="N"/>
    <s v="Y"/>
    <n v="975700"/>
    <n v="158200"/>
    <n v="817500"/>
    <n v="191307"/>
    <n v="0.87900900900900902"/>
    <n v="798040.621375527"/>
    <n v="832269.03494915739"/>
    <n v="-0.14700314138653542"/>
    <n v="-34228.427137999999"/>
    <n v="87214.824999999997"/>
    <n v="87214.824999999997"/>
    <n v="-1021.6865922657902"/>
    <n v="19189.450408000001"/>
    <n v="106557.38887"/>
    <n v="5535.3729000000003"/>
    <n v="178235.32422000001"/>
    <n v="84923.634900000005"/>
    <n v="0"/>
    <n v="0"/>
    <n v="182791.80000000002"/>
    <n v="25273.623"/>
    <n v="0"/>
    <n v="56354.488663999997"/>
    <n v="798040.61923173419"/>
    <n v="191300"/>
    <n v="711800"/>
    <n v="86200"/>
    <n v="989300"/>
    <n v="0.89126126126126126"/>
    <n v="1.3938710669263093E-2"/>
    <n v="0.97570000000000001"/>
    <n v="0.9819"/>
    <n v="0.9748"/>
    <n v="1.034"/>
    <n v="1.0059"/>
    <n v="0.92691499999999993"/>
    <n v="0.92277971212650811"/>
    <n v="739300"/>
    <n v="177300"/>
    <n v="916600"/>
    <n v="79900"/>
    <n v="996500"/>
    <n v="0.12122324159021407"/>
    <n v="-0.4949431099873578"/>
    <n v="2.1318028082402379E-2"/>
    <n v="0.86691132690270267"/>
  </r>
  <r>
    <n v="2025"/>
    <n v="18131643470"/>
    <n v="-0.15082288973458366"/>
    <n v="0.86"/>
    <n v="37675"/>
    <n v="5"/>
    <s v="RES"/>
    <s v="HE"/>
    <x v="0"/>
    <s v="R1"/>
    <n v="11"/>
    <n v="331"/>
    <s v="CU"/>
    <s v="X"/>
    <s v="EX"/>
    <n v="1994"/>
    <n v="1994"/>
    <x v="2"/>
    <n v="30"/>
    <n v="30"/>
    <n v="1"/>
    <n v="4696"/>
    <n v="0"/>
    <n v="0"/>
    <n v="2792"/>
    <n v="2792"/>
    <n v="0"/>
    <n v="7488"/>
    <n v="7500"/>
    <n v="3"/>
    <m/>
    <s v="FD"/>
    <s v="G"/>
    <s v="Y"/>
    <n v="0"/>
    <n v="1"/>
    <n v="3"/>
    <n v="1"/>
    <n v="1"/>
    <n v="24"/>
    <n v="1221"/>
    <n v="0"/>
    <n v="1221"/>
    <n v="0"/>
    <n v="793"/>
    <n v="0"/>
    <n v="0"/>
    <n v="100"/>
    <n v="100"/>
    <n v="2353093"/>
    <n v="2211907"/>
    <n v="577"/>
    <n v="365"/>
    <n v="212"/>
    <n v="0"/>
    <d v="2022-06-03T00:00:00"/>
    <s v="E036759"/>
    <n v="1700000"/>
    <n v="1571974"/>
    <s v="SWD"/>
    <n v="30"/>
    <s v="N"/>
    <s v="Y"/>
    <n v="1807500"/>
    <n v="150000"/>
    <n v="1657500"/>
    <n v="128026"/>
    <n v="1.0632352941176471"/>
    <n v="1652893.98576929"/>
    <n v="1690452.4584469704"/>
    <n v="-6.4756592837084126E-2"/>
    <n v="-37558.486248000001"/>
    <n v="87214.824999999997"/>
    <n v="87214.824999999997"/>
    <n v="-3774.7720575521407"/>
    <n v="519241.74659"/>
    <n v="133581.64413"/>
    <n v="5535.3729000000003"/>
    <n v="324415.92346400005"/>
    <n v="0"/>
    <n v="0"/>
    <n v="79875.373135999995"/>
    <n v="243722.40000000002"/>
    <n v="25273.623"/>
    <n v="126273.06599999999"/>
    <n v="61878.444837000003"/>
    <n v="1652893.9857514475"/>
    <n v="128000"/>
    <n v="1569500"/>
    <n v="83400"/>
    <n v="1780900"/>
    <n v="1.0475882352941177"/>
    <n v="-1.4716459197786998E-2"/>
    <n v="0.97570000000000001"/>
    <n v="0.99960000000000004"/>
    <n v="0.98370000000000002"/>
    <n v="0.9546"/>
    <n v="1.0059"/>
    <n v="0.92691499999999993"/>
    <n v="0.87519548251079948"/>
    <n v="1596100"/>
    <n v="118700"/>
    <n v="1714800"/>
    <n v="77300"/>
    <n v="1792100"/>
    <n v="3.4570135746606334E-2"/>
    <n v="-0.48466666666666669"/>
    <n v="-8.5200553250345777E-3"/>
    <n v="1.0320832433835294"/>
  </r>
  <r>
    <n v="2025"/>
    <n v="17132414418"/>
    <n v="0"/>
    <n v="1"/>
    <n v="43385"/>
    <n v="1"/>
    <s v="RES"/>
    <n v="3042"/>
    <x v="0"/>
    <s v="R1"/>
    <n v="11"/>
    <n v="130"/>
    <s v="RN"/>
    <s v="G"/>
    <s v="GD"/>
    <n v="1992"/>
    <n v="1992"/>
    <x v="3"/>
    <n v="32"/>
    <n v="32"/>
    <n v="1"/>
    <n v="2836"/>
    <n v="0"/>
    <n v="0"/>
    <n v="0"/>
    <n v="0"/>
    <n v="0"/>
    <n v="2836"/>
    <n v="3000"/>
    <n v="2"/>
    <s v="B"/>
    <s v="FD"/>
    <s v="G"/>
    <s v="Y"/>
    <n v="0"/>
    <n v="0"/>
    <n v="1"/>
    <n v="1"/>
    <n v="0"/>
    <n v="12"/>
    <n v="756"/>
    <n v="0"/>
    <n v="756"/>
    <n v="0"/>
    <n v="678"/>
    <n v="0"/>
    <n v="0"/>
    <n v="100"/>
    <n v="100"/>
    <n v="534738"/>
    <n v="475917"/>
    <n v="1007"/>
    <n v="365"/>
    <n v="365"/>
    <n v="277"/>
    <d v="2021-03-30T00:00:00"/>
    <s v="E030582"/>
    <n v="516500"/>
    <n v="479786"/>
    <s v="SWD"/>
    <n v="30"/>
    <s v="N"/>
    <s v="Y"/>
    <n v="638900"/>
    <n v="160500"/>
    <n v="478400"/>
    <n v="36714"/>
    <n v="1.2369796708615683"/>
    <n v="502984.40446677839"/>
    <n v="611464.09699014726"/>
    <n v="-4.2942405712713641E-2"/>
    <n v="-108479.69271"/>
    <n v="87214.824999999997"/>
    <n v="87214.824999999997"/>
    <n v="0"/>
    <n v="-14329.694740000001"/>
    <n v="47273.897095"/>
    <n v="5904.3977599999998"/>
    <n v="195920.68972400003"/>
    <n v="0"/>
    <n v="0"/>
    <n v="0"/>
    <n v="121861.20000000001"/>
    <n v="0"/>
    <n v="42091.021999999997"/>
    <n v="38312.943732"/>
    <n v="502984.41286100005"/>
    <n v="36700"/>
    <n v="415800"/>
    <n v="87200"/>
    <n v="539700"/>
    <n v="1.0449177153920619"/>
    <n v="-0.15526686492408828"/>
    <n v="0.97570000000000001"/>
    <n v="0.98809999999999998"/>
    <n v="0.97829999999999995"/>
    <n v="0.93310000000000004"/>
    <n v="0.91679999999999995"/>
    <n v="0.92691499999999993"/>
    <n v="0.766506173684665"/>
    <n v="503900"/>
    <n v="34000"/>
    <n v="537900"/>
    <n v="80800"/>
    <n v="618700"/>
    <n v="0.12437290969899666"/>
    <n v="-0.49657320872274141"/>
    <n v="-3.1616841446235715E-2"/>
    <n v="0.98784183405614723"/>
  </r>
  <r>
    <n v="2025"/>
    <n v="18131643436"/>
    <n v="-1.0498221244986778"/>
    <n v="0.35"/>
    <n v="15199"/>
    <n v="5"/>
    <s v="RES"/>
    <s v="YN1"/>
    <x v="0"/>
    <s v="R1"/>
    <n v="11"/>
    <n v="259"/>
    <s v="CP"/>
    <s v="G+"/>
    <s v="AV"/>
    <n v="1992"/>
    <n v="1992"/>
    <x v="3"/>
    <n v="32"/>
    <n v="32"/>
    <n v="1"/>
    <n v="2439"/>
    <n v="0"/>
    <n v="0"/>
    <n v="1492"/>
    <n v="1492"/>
    <n v="0"/>
    <n v="3931"/>
    <n v="4000"/>
    <n v="3"/>
    <s v="B"/>
    <s v="FD"/>
    <s v="G"/>
    <s v="Y"/>
    <n v="0"/>
    <n v="1"/>
    <n v="0"/>
    <n v="0"/>
    <n v="1"/>
    <n v="13"/>
    <n v="665"/>
    <n v="0"/>
    <n v="665"/>
    <n v="0"/>
    <n v="120"/>
    <n v="419"/>
    <n v="355"/>
    <n v="100"/>
    <n v="100"/>
    <n v="672047"/>
    <n v="611563"/>
    <n v="74"/>
    <n v="74"/>
    <n v="0"/>
    <n v="0"/>
    <d v="2023-10-19T00:00:00"/>
    <s v="E041818"/>
    <n v="600000"/>
    <n v="600000"/>
    <s v="BARGA"/>
    <n v="30"/>
    <s v="N"/>
    <s v="Y"/>
    <n v="565200"/>
    <n v="100900"/>
    <n v="464300"/>
    <n v="0"/>
    <n v="0.94199999999999995"/>
    <n v="563714.51555090444"/>
    <n v="575418.50079235469"/>
    <n v="1.8079442307775469E-2"/>
    <n v="-11703.988000000001"/>
    <n v="87214.824999999997"/>
    <n v="87214.824999999997"/>
    <n v="-26274.786459345738"/>
    <n v="19189.450408000001"/>
    <n v="0"/>
    <n v="5904.3977599999998"/>
    <n v="168494.55650100001"/>
    <n v="0"/>
    <n v="0"/>
    <n v="42684.117736"/>
    <n v="132016.30000000002"/>
    <n v="25273.623"/>
    <n v="0"/>
    <n v="33701.200505000001"/>
    <n v="563714.52145065425"/>
    <n v="0"/>
    <n v="502800"/>
    <n v="60900"/>
    <n v="563700"/>
    <n v="0.9395"/>
    <n v="-2.6539278131634818E-3"/>
    <n v="0.97570000000000001"/>
    <n v="0.9819"/>
    <n v="0.9677"/>
    <n v="1.034"/>
    <n v="0.91679999999999995"/>
    <n v="0.92691499999999993"/>
    <n v="0.83491652090486868"/>
    <n v="500100"/>
    <n v="0"/>
    <n v="500100"/>
    <n v="56500"/>
    <n v="556600"/>
    <n v="7.7105319836312733E-2"/>
    <n v="-0.44003964321110012"/>
    <n v="-1.5215852795470631E-2"/>
    <n v="0.90816001999999996"/>
  </r>
  <r>
    <n v="2025"/>
    <n v="18131742421"/>
    <n v="-0.3285040669720361"/>
    <n v="0.72"/>
    <n v="31244"/>
    <n v="1"/>
    <s v="RES"/>
    <s v="HE"/>
    <x v="0"/>
    <s v="SR"/>
    <n v="11"/>
    <n v="331"/>
    <s v="CU"/>
    <s v="V"/>
    <s v="VG"/>
    <n v="1991"/>
    <n v="1991"/>
    <x v="3"/>
    <n v="33"/>
    <n v="33"/>
    <n v="2"/>
    <n v="2009"/>
    <n v="1073"/>
    <n v="0"/>
    <n v="0"/>
    <n v="0"/>
    <n v="0"/>
    <n v="3082"/>
    <n v="3500"/>
    <n v="3"/>
    <s v="B"/>
    <s v="FD"/>
    <s v="G"/>
    <s v="Y"/>
    <n v="0"/>
    <n v="2"/>
    <n v="0"/>
    <n v="0"/>
    <n v="1"/>
    <n v="14"/>
    <n v="726"/>
    <n v="0"/>
    <n v="726"/>
    <n v="0"/>
    <n v="312"/>
    <n v="336"/>
    <n v="0"/>
    <n v="100"/>
    <n v="100"/>
    <n v="686076"/>
    <n v="638051"/>
    <n v="558"/>
    <n v="365"/>
    <n v="193"/>
    <n v="0"/>
    <d v="2022-06-22T00:00:00"/>
    <s v="E037224"/>
    <n v="900000"/>
    <n v="856928"/>
    <s v="SWD"/>
    <n v="30"/>
    <s v="N"/>
    <s v="Y"/>
    <n v="796400"/>
    <n v="141900"/>
    <n v="654500"/>
    <n v="43072"/>
    <n v="0.88488888888888884"/>
    <n v="720161.02031701431"/>
    <n v="759527.23936546466"/>
    <n v="-4.6299297632515495E-2"/>
    <n v="-39366.232622000003"/>
    <n v="87214.824999999997"/>
    <n v="87214.824999999997"/>
    <n v="-8221.7491985498054"/>
    <n v="46722.525125"/>
    <n v="106557.38887"/>
    <n v="6088.9101899999996"/>
    <n v="138788.669131"/>
    <n v="65650.619774999999"/>
    <n v="0"/>
    <n v="0"/>
    <n v="142171.4"/>
    <n v="50547.245999999999"/>
    <n v="0"/>
    <n v="36792.588821999998"/>
    <n v="720161.01609245024"/>
    <n v="43100"/>
    <n v="641200"/>
    <n v="79000"/>
    <n v="763300"/>
    <n v="0.84811111111111115"/>
    <n v="-4.1562029131089903E-2"/>
    <n v="0.97570000000000001"/>
    <n v="0.98329999999999995"/>
    <n v="0.9748"/>
    <n v="0.99619999999999997"/>
    <n v="0.91679999999999995"/>
    <n v="0.92691499999999993"/>
    <n v="0.81145158328065969"/>
    <n v="664100"/>
    <n v="39900"/>
    <n v="704000"/>
    <n v="73200"/>
    <n v="777200"/>
    <n v="7.5630252100840331E-2"/>
    <n v="-0.48414376321353064"/>
    <n v="-2.4108488196885988E-2"/>
    <n v="0.81981529708666667"/>
  </r>
  <r>
    <n v="2025"/>
    <n v="18131642443"/>
    <n v="-0.916290731874155"/>
    <n v="0.4"/>
    <n v="17326"/>
    <n v="5"/>
    <s v="RES"/>
    <s v="HE"/>
    <x v="0"/>
    <s v="R1"/>
    <n v="11"/>
    <n v="259"/>
    <s v="CU"/>
    <s v="V+"/>
    <s v="EX"/>
    <n v="1991"/>
    <n v="2010"/>
    <x v="3"/>
    <n v="33"/>
    <n v="14"/>
    <n v="2"/>
    <n v="1342"/>
    <n v="1019"/>
    <n v="0"/>
    <n v="0"/>
    <n v="0"/>
    <n v="0"/>
    <n v="2361"/>
    <n v="2500"/>
    <n v="3"/>
    <s v="B"/>
    <s v="HP"/>
    <s v="E"/>
    <m/>
    <n v="0"/>
    <n v="2"/>
    <n v="0"/>
    <n v="0"/>
    <n v="1"/>
    <n v="13"/>
    <n v="815"/>
    <n v="0"/>
    <n v="815"/>
    <n v="0"/>
    <n v="252"/>
    <n v="0"/>
    <n v="180"/>
    <n v="100"/>
    <n v="100"/>
    <n v="655812"/>
    <n v="642696"/>
    <n v="922"/>
    <n v="365"/>
    <n v="365"/>
    <n v="192"/>
    <d v="2021-06-23T00:00:00"/>
    <s v="E031952"/>
    <n v="690000"/>
    <n v="646134"/>
    <s v="SWD"/>
    <n v="30"/>
    <s v="N"/>
    <s v="Y"/>
    <n v="749500"/>
    <n v="108500"/>
    <n v="641000"/>
    <n v="43866"/>
    <n v="1.086231884057971"/>
    <n v="729564.83336486318"/>
    <n v="811814.71178930544"/>
    <n v="8.3141710192535606E-2"/>
    <n v="-82249.882710000005"/>
    <n v="87214.824999999997"/>
    <n v="87214.824999999997"/>
    <n v="-22932.783328573645"/>
    <n v="141724.10243"/>
    <n v="133581.64413"/>
    <n v="6088.9101899999996"/>
    <n v="92710.001978"/>
    <n v="62346.674325"/>
    <n v="0"/>
    <n v="0"/>
    <n v="132016.30000000002"/>
    <n v="50547.245999999999"/>
    <n v="0"/>
    <n v="41302.975055000003"/>
    <n v="729564.83806942648"/>
    <n v="43900"/>
    <n v="665300"/>
    <n v="64300"/>
    <n v="773500"/>
    <n v="1.1210144927536232"/>
    <n v="3.2021347565043365E-2"/>
    <n v="0.97570000000000001"/>
    <n v="1.0051000000000001"/>
    <n v="0.98370000000000002"/>
    <n v="0.93440000000000001"/>
    <n v="0.91679999999999995"/>
    <n v="0.92691499999999993"/>
    <n v="0.78508971696685093"/>
    <n v="728800"/>
    <n v="40700"/>
    <n v="769500"/>
    <n v="59600"/>
    <n v="829100"/>
    <n v="0.20046801872074882"/>
    <n v="-0.45069124423963136"/>
    <n v="0.10620413609072715"/>
    <n v="1.0823914743333334"/>
  </r>
  <r>
    <n v="2025"/>
    <n v="18131731412"/>
    <n v="7.6961041136128394E-2"/>
    <n v="1.08"/>
    <n v="0"/>
    <n v="1"/>
    <s v="RES"/>
    <s v="HE"/>
    <x v="0"/>
    <s v="SR"/>
    <n v="11"/>
    <n v="331"/>
    <s v="CU"/>
    <s v="E"/>
    <s v="EX"/>
    <n v="1990"/>
    <n v="1990"/>
    <x v="3"/>
    <n v="34"/>
    <n v="34"/>
    <n v="2"/>
    <n v="2324"/>
    <n v="1968"/>
    <n v="0"/>
    <n v="0"/>
    <n v="0"/>
    <n v="0"/>
    <n v="4292"/>
    <n v="4500"/>
    <n v="3"/>
    <s v="B"/>
    <s v="FD"/>
    <s v="G"/>
    <s v="Y"/>
    <n v="0"/>
    <n v="2"/>
    <n v="0"/>
    <n v="2"/>
    <n v="0"/>
    <n v="18"/>
    <n v="956"/>
    <n v="0"/>
    <n v="956"/>
    <n v="0"/>
    <n v="0"/>
    <n v="909"/>
    <n v="0"/>
    <n v="100"/>
    <n v="100"/>
    <n v="1148453"/>
    <n v="1079546"/>
    <n v="591"/>
    <n v="365"/>
    <n v="226"/>
    <n v="0"/>
    <d v="2022-05-20T00:00:00"/>
    <s v="E036547"/>
    <n v="1100000"/>
    <n v="1044765"/>
    <s v="SWD"/>
    <n v="30"/>
    <s v="N"/>
    <s v="Y"/>
    <n v="1142200"/>
    <n v="170000"/>
    <n v="972200"/>
    <n v="55235"/>
    <n v="1.0383636363636364"/>
    <n v="1086072.8937615221"/>
    <n v="1122299.3427975825"/>
    <n v="-1.7423093330780508E-2"/>
    <n v="-36226.462604"/>
    <n v="87214.824999999997"/>
    <n v="87214.824999999997"/>
    <n v="1926.1690855546865"/>
    <n v="243340.36395999999"/>
    <n v="133581.64413"/>
    <n v="6273.4226199999994"/>
    <n v="160549.95871600002"/>
    <n v="120410.45640000001"/>
    <n v="0"/>
    <n v="0"/>
    <n v="182791.80000000002"/>
    <n v="50547.245999999999"/>
    <n v="0"/>
    <n v="48448.643131999997"/>
    <n v="1086072.8914395547"/>
    <n v="55200"/>
    <n v="996900"/>
    <n v="89100"/>
    <n v="1141200"/>
    <n v="1.0374545454545454"/>
    <n v="-8.7550341446331645E-4"/>
    <n v="0.97570000000000001"/>
    <n v="0.99519999999999997"/>
    <n v="0.98370000000000002"/>
    <n v="1.0087999999999999"/>
    <n v="0.91679999999999995"/>
    <n v="0.92691499999999993"/>
    <n v="0.83925246828191791"/>
    <n v="1019100"/>
    <n v="51200"/>
    <n v="1070300"/>
    <n v="82600"/>
    <n v="1152900"/>
    <n v="0.10090516354659534"/>
    <n v="-0.51411764705882357"/>
    <n v="9.3678865347574854E-3"/>
    <n v="1.015157761269091"/>
  </r>
  <r>
    <n v="2025"/>
    <n v="18131642439"/>
    <n v="-0.79850769621777162"/>
    <n v="0.45"/>
    <n v="19792"/>
    <n v="5"/>
    <s v="RES"/>
    <s v="HE"/>
    <x v="0"/>
    <s v="R1"/>
    <n v="11"/>
    <n v="259"/>
    <s v="CU"/>
    <s v="E+"/>
    <s v="VG"/>
    <n v="1990"/>
    <n v="1990"/>
    <x v="3"/>
    <n v="34"/>
    <n v="34"/>
    <n v="1"/>
    <n v="4958"/>
    <n v="0"/>
    <n v="0"/>
    <n v="0"/>
    <n v="0"/>
    <n v="0"/>
    <n v="4958"/>
    <n v="5000"/>
    <n v="3"/>
    <s v="B"/>
    <s v="FD"/>
    <s v="G"/>
    <s v="Y"/>
    <n v="0"/>
    <n v="1"/>
    <n v="0"/>
    <n v="2"/>
    <n v="2"/>
    <n v="20"/>
    <n v="864"/>
    <n v="0"/>
    <n v="864"/>
    <n v="0"/>
    <n v="88"/>
    <n v="722"/>
    <n v="0"/>
    <n v="100"/>
    <n v="100"/>
    <n v="1661484"/>
    <n v="1545180"/>
    <n v="824"/>
    <n v="365"/>
    <n v="365"/>
    <n v="94"/>
    <d v="2021-09-29T00:00:00"/>
    <s v="E033357"/>
    <n v="1100000"/>
    <n v="1100000"/>
    <s v="SWD"/>
    <n v="30"/>
    <s v="N"/>
    <s v="Y"/>
    <n v="1113700"/>
    <n v="115000"/>
    <n v="998700"/>
    <n v="0"/>
    <n v="1.0124545454545455"/>
    <n v="1200780.5643527214"/>
    <n v="1252789.0100513427"/>
    <n v="0.12488911740266019"/>
    <n v="-52008.454710000005"/>
    <n v="87214.824999999997"/>
    <n v="87214.824999999997"/>
    <n v="-19984.927650753172"/>
    <n v="370835.85488"/>
    <n v="106557.38887"/>
    <n v="6273.4226199999994"/>
    <n v="342515.78972200002"/>
    <n v="0"/>
    <n v="0"/>
    <n v="0"/>
    <n v="203102"/>
    <n v="25273.623"/>
    <n v="0"/>
    <n v="43786.221407999998"/>
    <n v="1200780.5681392467"/>
    <n v="0"/>
    <n v="1133600"/>
    <n v="67200"/>
    <n v="1200800"/>
    <n v="1.0916363636363637"/>
    <n v="7.8207775882194491E-2"/>
    <n v="0.97570000000000001"/>
    <n v="0.99470000000000003"/>
    <n v="0.9748"/>
    <n v="1.0048999999999999"/>
    <n v="0.91679999999999995"/>
    <n v="0.92691499999999993"/>
    <n v="0.82802795568725063"/>
    <n v="1170600"/>
    <n v="0"/>
    <n v="1170600"/>
    <n v="62300"/>
    <n v="1232900"/>
    <n v="0.1721237608891559"/>
    <n v="-0.45826086956521739"/>
    <n v="0.10703061865852563"/>
    <n v="1.0735377684454546"/>
  </r>
  <r>
    <n v="2025"/>
    <n v="18131642439"/>
    <n v="-0.79850769621777162"/>
    <n v="0.45"/>
    <n v="19792"/>
    <n v="5"/>
    <s v="RES"/>
    <n v="3041"/>
    <x v="0"/>
    <s v="R1"/>
    <n v="11"/>
    <n v="331"/>
    <s v="CU"/>
    <s v="E+"/>
    <s v="VG"/>
    <n v="1990"/>
    <n v="1990"/>
    <x v="3"/>
    <n v="34"/>
    <n v="34"/>
    <n v="1"/>
    <n v="4967"/>
    <n v="0"/>
    <n v="0"/>
    <n v="0"/>
    <n v="0"/>
    <n v="0"/>
    <n v="4967"/>
    <n v="5000"/>
    <n v="3"/>
    <s v="B"/>
    <s v="FD"/>
    <s v="G"/>
    <s v="Y"/>
    <n v="0"/>
    <n v="1"/>
    <n v="1"/>
    <n v="2"/>
    <n v="2"/>
    <n v="20"/>
    <n v="888"/>
    <n v="0"/>
    <n v="888"/>
    <n v="0"/>
    <n v="88"/>
    <n v="722"/>
    <n v="0"/>
    <n v="100"/>
    <n v="100"/>
    <n v="1664470"/>
    <n v="998682"/>
    <n v="28"/>
    <n v="28"/>
    <n v="0"/>
    <n v="0"/>
    <d v="2023-12-04T00:00:00"/>
    <s v="E042241"/>
    <n v="1200000"/>
    <n v="1200000"/>
    <s v="SWD"/>
    <n v="30"/>
    <s v="N"/>
    <s v="Y"/>
    <n v="1113700"/>
    <n v="115000"/>
    <n v="998700"/>
    <n v="0"/>
    <n v="0.92808333333333337"/>
    <n v="1292289.5321223631"/>
    <n v="1296718.0670785876"/>
    <n v="0.16433336363346288"/>
    <n v="-4428.5360000000001"/>
    <n v="87214.824999999997"/>
    <n v="87214.824999999997"/>
    <n v="-19984.927650753172"/>
    <n v="370835.85488"/>
    <n v="106557.38887"/>
    <n v="6273.4226199999994"/>
    <n v="343137.54085300001"/>
    <n v="0"/>
    <n v="0"/>
    <n v="0"/>
    <n v="203102"/>
    <n v="25273.623"/>
    <n v="42091.021999999997"/>
    <n v="45002.505336000002"/>
    <n v="1292289.5439082468"/>
    <n v="0"/>
    <n v="1225100"/>
    <n v="67200"/>
    <n v="1292300"/>
    <n v="1.0769166666666667"/>
    <n v="0.16036634641285805"/>
    <n v="0.97570000000000001"/>
    <n v="0.99470000000000003"/>
    <n v="0.9748"/>
    <n v="1.0048999999999999"/>
    <n v="0.91679999999999995"/>
    <n v="0.92691499999999993"/>
    <n v="0.82802795568725063"/>
    <n v="1214500"/>
    <n v="0"/>
    <n v="1214500"/>
    <n v="62300"/>
    <n v="1276800"/>
    <n v="0.21608090517672976"/>
    <n v="-0.45826086956521739"/>
    <n v="0.1464487743557511"/>
    <n v="1.0603095533333333"/>
  </r>
  <r>
    <n v="2025"/>
    <n v="18131524470"/>
    <n v="-0.82098055206983023"/>
    <n v="0.44"/>
    <n v="19139"/>
    <n v="5"/>
    <s v="RES"/>
    <n v="3041"/>
    <x v="0"/>
    <s v="R1"/>
    <n v="11"/>
    <n v="259"/>
    <s v="CU"/>
    <s v="V+"/>
    <s v="GD"/>
    <n v="1990"/>
    <n v="1990"/>
    <x v="3"/>
    <n v="34"/>
    <n v="34"/>
    <n v="2"/>
    <n v="2057"/>
    <n v="611"/>
    <n v="0"/>
    <n v="1982"/>
    <n v="1982"/>
    <n v="0"/>
    <n v="4650"/>
    <n v="5000"/>
    <n v="3"/>
    <s v="B"/>
    <s v="HP"/>
    <s v="E"/>
    <m/>
    <n v="0"/>
    <n v="1"/>
    <n v="0"/>
    <n v="0"/>
    <n v="0"/>
    <n v="16"/>
    <n v="750"/>
    <n v="0"/>
    <n v="750"/>
    <n v="0"/>
    <n v="441"/>
    <n v="320"/>
    <n v="0"/>
    <n v="100"/>
    <n v="100"/>
    <n v="965801"/>
    <n v="888537"/>
    <n v="378"/>
    <n v="365"/>
    <n v="13"/>
    <n v="0"/>
    <d v="2022-12-19T00:00:00"/>
    <s v="E039047"/>
    <n v="777000"/>
    <n v="715819"/>
    <s v="SWD"/>
    <n v="30"/>
    <s v="N"/>
    <s v="Y"/>
    <n v="710700"/>
    <n v="113900"/>
    <n v="596800"/>
    <n v="61181"/>
    <n v="0.91467181467181469"/>
    <n v="754616.11218929873"/>
    <n v="811108.34948714869"/>
    <n v="0.14128091949788757"/>
    <n v="-56492.250902000007"/>
    <n v="87214.824999999997"/>
    <n v="87214.824999999997"/>
    <n v="-20547.374826198695"/>
    <n v="141724.10243"/>
    <n v="47273.897095"/>
    <n v="6273.4226199999994"/>
    <n v="142104.67516300001"/>
    <n v="37383.530924999999"/>
    <n v="0"/>
    <n v="56702.360155999995"/>
    <n v="162481.60000000001"/>
    <n v="25273.623"/>
    <n v="0"/>
    <n v="38008.872750000002"/>
    <n v="754616.10841080139"/>
    <n v="61200"/>
    <n v="687900"/>
    <n v="66700"/>
    <n v="815800"/>
    <n v="1.04993564993565"/>
    <n v="0.14788236949486422"/>
    <n v="0.97570000000000001"/>
    <n v="1.0051000000000001"/>
    <n v="0.97829999999999995"/>
    <n v="1.0048999999999999"/>
    <n v="0.91679999999999995"/>
    <n v="0.92691499999999993"/>
    <n v="0.83968943254087269"/>
    <n v="730500"/>
    <n v="56700"/>
    <n v="787200"/>
    <n v="61800"/>
    <n v="849000"/>
    <n v="0.31903485254691688"/>
    <n v="-0.45741878841088673"/>
    <n v="0.19459687631912198"/>
    <n v="1.0199584930476191"/>
  </r>
  <r>
    <n v="2025"/>
    <n v="18131533471"/>
    <n v="-1.8971199848858813"/>
    <n v="0.15"/>
    <n v="6624"/>
    <n v="5"/>
    <s v="RES"/>
    <n v="3042"/>
    <x v="0"/>
    <s v="R2"/>
    <n v="11"/>
    <n v="259"/>
    <s v="CO"/>
    <s v="G+"/>
    <s v="GD"/>
    <n v="1989"/>
    <n v="1989"/>
    <x v="3"/>
    <n v="35"/>
    <n v="35"/>
    <n v="2"/>
    <n v="1208"/>
    <n v="1224"/>
    <n v="0"/>
    <n v="0"/>
    <n v="0"/>
    <n v="0"/>
    <n v="2432"/>
    <n v="2500"/>
    <n v="2"/>
    <s v="B"/>
    <s v="HP"/>
    <s v="E"/>
    <s v="N"/>
    <n v="0"/>
    <n v="0"/>
    <n v="1"/>
    <n v="0"/>
    <n v="1"/>
    <n v="12"/>
    <n v="0"/>
    <n v="440"/>
    <n v="440"/>
    <n v="0"/>
    <n v="0"/>
    <n v="498"/>
    <n v="0"/>
    <n v="100"/>
    <n v="100"/>
    <n v="473243"/>
    <n v="425919"/>
    <n v="550"/>
    <n v="365"/>
    <n v="185"/>
    <n v="0"/>
    <d v="2022-06-30T00:00:00"/>
    <s v="E037120"/>
    <n v="537000"/>
    <n v="537000"/>
    <s v="SWD"/>
    <n v="30"/>
    <s v="N"/>
    <s v="Y"/>
    <n v="487800"/>
    <n v="52800"/>
    <n v="435000"/>
    <n v="0"/>
    <n v="0.90837988826815641"/>
    <n v="504335.73063177324"/>
    <n v="544463.1060468636"/>
    <n v="0.1161605290013604"/>
    <n v="-40127.388990000007"/>
    <n v="87214.824999999997"/>
    <n v="87214.824999999997"/>
    <n v="-47480.826825246164"/>
    <n v="19189.450408000001"/>
    <n v="47273.897095"/>
    <n v="6457.93505"/>
    <n v="83452.818471999999"/>
    <n v="74889.430200000003"/>
    <n v="0"/>
    <n v="0"/>
    <n v="121861.20000000001"/>
    <n v="0"/>
    <n v="42091.021999999997"/>
    <n v="22298.538680000001"/>
    <n v="504335.72608975385"/>
    <n v="0"/>
    <n v="464600"/>
    <n v="39700"/>
    <n v="504300"/>
    <n v="0.93910614525139668"/>
    <n v="3.3825338253382534E-2"/>
    <n v="0.97570000000000001"/>
    <n v="0.9819"/>
    <n v="0.97829999999999995"/>
    <n v="0.93440000000000001"/>
    <n v="0.91679999999999995"/>
    <n v="0.92691499999999993"/>
    <n v="0.76275780135085913"/>
    <n v="484000"/>
    <n v="0"/>
    <n v="484000"/>
    <n v="36800"/>
    <n v="520800"/>
    <n v="0.11264367816091954"/>
    <n v="-0.30303030303030304"/>
    <n v="6.7650676506765067E-2"/>
    <n v="0.89510728307262566"/>
  </r>
  <r>
    <n v="2025"/>
    <n v="18131533461"/>
    <n v="-2.3025850929940455"/>
    <n v="0.1"/>
    <n v="4239"/>
    <n v="5"/>
    <s v="RES"/>
    <n v="3042"/>
    <x v="0"/>
    <s v="R2"/>
    <n v="11"/>
    <n v="259"/>
    <s v="CO"/>
    <s v="V"/>
    <s v="GD"/>
    <n v="1989"/>
    <n v="1989"/>
    <x v="3"/>
    <n v="35"/>
    <n v="35"/>
    <n v="2"/>
    <n v="1160"/>
    <n v="1396"/>
    <n v="0"/>
    <n v="0"/>
    <n v="0"/>
    <n v="0"/>
    <n v="2556"/>
    <n v="3000"/>
    <n v="2"/>
    <m/>
    <s v="FD"/>
    <s v="G"/>
    <s v="Y"/>
    <n v="0"/>
    <n v="1"/>
    <n v="0"/>
    <n v="0"/>
    <n v="1"/>
    <n v="12"/>
    <n v="0"/>
    <n v="418"/>
    <n v="418"/>
    <n v="0"/>
    <n v="0"/>
    <n v="538"/>
    <n v="0"/>
    <n v="100"/>
    <n v="100"/>
    <n v="577879"/>
    <n v="525870"/>
    <n v="733"/>
    <n v="365"/>
    <n v="365"/>
    <n v="3"/>
    <d v="2021-12-29T00:00:00"/>
    <s v="E034652"/>
    <n v="450000"/>
    <n v="450000"/>
    <s v="SWD"/>
    <n v="30"/>
    <s v="N"/>
    <s v="Y"/>
    <n v="478600"/>
    <n v="29700"/>
    <n v="448900"/>
    <n v="0"/>
    <n v="1.0635555555555556"/>
    <n v="527196.49330040254"/>
    <n v="551123.60861076124"/>
    <n v="0.1515328220032621"/>
    <n v="-23927.128710000005"/>
    <n v="87214.824999999997"/>
    <n v="87214.824999999997"/>
    <n v="-57628.745109350653"/>
    <n v="46722.525125"/>
    <n v="47273.897095"/>
    <n v="6457.93505"/>
    <n v="80136.812440000009"/>
    <n v="85413.108300000007"/>
    <n v="0"/>
    <n v="0"/>
    <n v="121861.20000000001"/>
    <n v="25273.623"/>
    <n v="0"/>
    <n v="21183.611745999999"/>
    <n v="527196.4889366494"/>
    <n v="0"/>
    <n v="497600"/>
    <n v="29600"/>
    <n v="527200"/>
    <n v="1.1715555555555555"/>
    <n v="0.10154617634768073"/>
    <n v="0.97570000000000001"/>
    <n v="0.98329999999999995"/>
    <n v="0.97829999999999995"/>
    <n v="0.93310000000000004"/>
    <n v="0.91679999999999995"/>
    <n v="0.92691499999999993"/>
    <n v="0.76278263392787293"/>
    <n v="500800"/>
    <n v="0"/>
    <n v="500800"/>
    <n v="27400"/>
    <n v="528200"/>
    <n v="0.11561595010024504"/>
    <n v="-7.7441077441077436E-2"/>
    <n v="0.10363560384454659"/>
    <n v="1.1206063806444444"/>
  </r>
  <r>
    <n v="2025"/>
    <n v="18131523419"/>
    <n v="-1.2039728043259361"/>
    <n v="0.3"/>
    <n v="13012"/>
    <n v="5"/>
    <s v="RES"/>
    <n v="3041"/>
    <x v="0"/>
    <s v="R1"/>
    <n v="11"/>
    <n v="259"/>
    <s v="CP"/>
    <s v="G+"/>
    <s v="GD"/>
    <n v="1987"/>
    <n v="1987"/>
    <x v="3"/>
    <n v="37"/>
    <n v="37"/>
    <n v="1"/>
    <n v="2197"/>
    <n v="0"/>
    <n v="0"/>
    <n v="2977"/>
    <n v="2977"/>
    <n v="0"/>
    <n v="5174"/>
    <n v="5500"/>
    <n v="3"/>
    <m/>
    <s v="FD"/>
    <s v="G"/>
    <s v="Y"/>
    <n v="0"/>
    <n v="1"/>
    <n v="1"/>
    <n v="1"/>
    <n v="1"/>
    <n v="13"/>
    <n v="780"/>
    <n v="0"/>
    <n v="780"/>
    <n v="0"/>
    <n v="1814"/>
    <n v="0"/>
    <n v="0"/>
    <n v="100"/>
    <n v="100"/>
    <n v="829486"/>
    <n v="738243"/>
    <n v="720"/>
    <n v="365"/>
    <n v="355"/>
    <n v="0"/>
    <d v="2022-01-11T00:00:00"/>
    <s v="E034851"/>
    <n v="550000"/>
    <n v="550000"/>
    <s v="PRD"/>
    <n v="30"/>
    <s v="N"/>
    <s v="Y"/>
    <n v="673200"/>
    <n v="92100"/>
    <n v="581100"/>
    <n v="0"/>
    <n v="1.224"/>
    <n v="669488.80761548644"/>
    <n v="693441.61023947713"/>
    <n v="3.0067751395539407E-2"/>
    <n v="-23952.816170000006"/>
    <n v="87214.824999999997"/>
    <n v="87214.824999999997"/>
    <n v="-30132.845934857665"/>
    <n v="19189.450408000001"/>
    <n v="47273.897095"/>
    <n v="6826.9599099999996"/>
    <n v="151776.35942300002"/>
    <n v="0"/>
    <n v="0"/>
    <n v="85167.97486599999"/>
    <n v="132016.30000000002"/>
    <n v="25273.623"/>
    <n v="42091.021999999997"/>
    <n v="39529.227659999997"/>
    <n v="669488.80225714238"/>
    <n v="0"/>
    <n v="612400"/>
    <n v="57100"/>
    <n v="669500"/>
    <n v="1.2172727272727273"/>
    <n v="-5.4961378490790257E-3"/>
    <n v="0.97570000000000001"/>
    <n v="0.9819"/>
    <n v="0.97829999999999995"/>
    <n v="0.90720000000000001"/>
    <n v="0.91679999999999995"/>
    <n v="0.92691499999999993"/>
    <n v="0.74055423521564567"/>
    <n v="613700"/>
    <n v="0"/>
    <n v="613700"/>
    <n v="52900"/>
    <n v="666600"/>
    <n v="5.6100499053519187E-2"/>
    <n v="-0.42562432138979372"/>
    <n v="-9.8039215686274508E-3"/>
    <n v="1.1684494251454545"/>
  </r>
  <r>
    <n v="2025"/>
    <n v="18131533462"/>
    <n v="-2.3025850929940455"/>
    <n v="0.1"/>
    <n v="4462"/>
    <n v="5"/>
    <s v="RES"/>
    <s v="YN1"/>
    <x v="0"/>
    <s v="R2"/>
    <n v="11"/>
    <n v="259"/>
    <s v="CO"/>
    <s v="V"/>
    <s v="AV"/>
    <n v="1987"/>
    <n v="1987"/>
    <x v="3"/>
    <n v="37"/>
    <n v="37"/>
    <n v="2"/>
    <n v="1256"/>
    <n v="860"/>
    <n v="0"/>
    <n v="0"/>
    <n v="0"/>
    <n v="0"/>
    <n v="2116"/>
    <n v="2500"/>
    <n v="2"/>
    <m/>
    <s v="HP"/>
    <s v="E"/>
    <m/>
    <n v="0"/>
    <n v="1"/>
    <n v="0"/>
    <n v="0"/>
    <n v="0"/>
    <n v="9"/>
    <n v="572"/>
    <n v="0"/>
    <n v="572"/>
    <n v="0"/>
    <n v="0"/>
    <n v="504"/>
    <n v="504"/>
    <n v="100"/>
    <n v="100"/>
    <n v="505441"/>
    <n v="454897"/>
    <n v="83"/>
    <n v="83"/>
    <n v="0"/>
    <n v="0"/>
    <d v="2023-10-10T00:00:00"/>
    <s v="E041730"/>
    <n v="385000"/>
    <n v="385000"/>
    <s v="SWD"/>
    <n v="30"/>
    <s v="N"/>
    <s v="Y"/>
    <n v="426500"/>
    <n v="29700"/>
    <n v="396800"/>
    <n v="0"/>
    <n v="1.1077922077922078"/>
    <n v="442267.77768499515"/>
    <n v="455395.22059094615"/>
    <n v="6.7749637962359083E-2"/>
    <n v="-13127.446"/>
    <n v="87214.824999999997"/>
    <n v="87214.824999999997"/>
    <n v="-57628.745109350653"/>
    <n v="46722.525125"/>
    <n v="0"/>
    <n v="6826.9599099999996"/>
    <n v="86768.824504000004"/>
    <n v="52618.390500000001"/>
    <n v="0"/>
    <n v="0"/>
    <n v="91395.900000000009"/>
    <n v="25273.623"/>
    <n v="0"/>
    <n v="28988.100284"/>
    <n v="442267.78221364936"/>
    <n v="0"/>
    <n v="412700"/>
    <n v="29600"/>
    <n v="442300"/>
    <n v="1.1488311688311688"/>
    <n v="3.7045720984759674E-2"/>
    <n v="0.97570000000000001"/>
    <n v="0.98329999999999995"/>
    <n v="0.9677"/>
    <n v="0.93440000000000001"/>
    <n v="0.91679999999999995"/>
    <n v="0.92691499999999993"/>
    <n v="0.75556898920891702"/>
    <n v="404500"/>
    <n v="0"/>
    <n v="404500"/>
    <n v="27400"/>
    <n v="431900"/>
    <n v="1.9405241935483871E-2"/>
    <n v="-7.7441077441077436E-2"/>
    <n v="1.2661195779601406E-2"/>
    <n v="1.0877209194805195"/>
  </r>
  <r>
    <n v="2025"/>
    <n v="18131532446"/>
    <n v="-1.6094379124341003"/>
    <n v="0.2"/>
    <n v="8811"/>
    <n v="5"/>
    <s v="RES"/>
    <n v="3041"/>
    <x v="0"/>
    <s v="R1"/>
    <n v="11"/>
    <n v="259"/>
    <s v="SE"/>
    <s v="G"/>
    <s v="GD"/>
    <n v="1985"/>
    <n v="1985"/>
    <x v="3"/>
    <n v="39"/>
    <n v="39"/>
    <n v="1"/>
    <n v="1756"/>
    <n v="0"/>
    <n v="0"/>
    <n v="1008"/>
    <n v="1008"/>
    <n v="0"/>
    <n v="2764"/>
    <n v="3000"/>
    <n v="2"/>
    <s v="B"/>
    <s v="HP"/>
    <s v="E"/>
    <m/>
    <n v="0"/>
    <n v="0"/>
    <n v="2"/>
    <n v="1"/>
    <n v="1"/>
    <n v="15"/>
    <n v="0"/>
    <n v="624"/>
    <n v="624"/>
    <n v="0"/>
    <n v="482"/>
    <n v="0"/>
    <n v="0"/>
    <n v="100"/>
    <n v="100"/>
    <n v="483999"/>
    <n v="421079"/>
    <n v="1067"/>
    <n v="365"/>
    <n v="365"/>
    <n v="337"/>
    <d v="2021-01-29T00:00:00"/>
    <s v="E029991"/>
    <n v="385000"/>
    <n v="385000"/>
    <s v="SWD"/>
    <n v="30"/>
    <s v="N"/>
    <s v="Y"/>
    <n v="468100"/>
    <n v="69100"/>
    <n v="399000"/>
    <n v="0"/>
    <n v="1.2158441558441559"/>
    <n v="465574.21485828306"/>
    <n v="592569.07027501182"/>
    <n v="0.26590273504595563"/>
    <n v="-126994.85271000001"/>
    <n v="87214.824999999997"/>
    <n v="87214.824999999997"/>
    <n v="-40280.764218962147"/>
    <n v="-14329.694740000001"/>
    <n v="47273.897095"/>
    <n v="7195.98477"/>
    <n v="121310.55400400001"/>
    <n v="0"/>
    <n v="0"/>
    <n v="28837.527263999997"/>
    <n v="152326.5"/>
    <n v="0"/>
    <n v="84182.043999999994"/>
    <n v="31623.382128000001"/>
    <n v="465574.22759203787"/>
    <n v="0"/>
    <n v="418600"/>
    <n v="46900"/>
    <n v="465500"/>
    <n v="1.209090909090909"/>
    <n v="-5.554368724631489E-3"/>
    <n v="0.97570000000000001"/>
    <n v="0.98809999999999998"/>
    <n v="0.97829999999999995"/>
    <n v="0.93310000000000004"/>
    <n v="0.91679999999999995"/>
    <n v="0.92691499999999993"/>
    <n v="0.766506173684665"/>
    <n v="525300"/>
    <n v="0"/>
    <n v="525300"/>
    <n v="43500"/>
    <n v="568800"/>
    <n v="0.31654135338345862"/>
    <n v="-0.37047756874095511"/>
    <n v="0.2151249732963042"/>
    <n v="1.1475458371168832"/>
  </r>
  <r>
    <n v="2025"/>
    <n v="18131533452"/>
    <n v="-2.3025850929940455"/>
    <n v="0.1"/>
    <n v="4464"/>
    <n v="5"/>
    <s v="RES"/>
    <s v="YN1"/>
    <x v="0"/>
    <s v="R2"/>
    <n v="11"/>
    <n v="259"/>
    <s v="CO"/>
    <s v="G+"/>
    <s v="AV"/>
    <n v="1985"/>
    <n v="1985"/>
    <x v="3"/>
    <n v="39"/>
    <n v="39"/>
    <n v="2"/>
    <n v="936"/>
    <n v="1135"/>
    <n v="0"/>
    <n v="0"/>
    <n v="0"/>
    <n v="0"/>
    <n v="2071"/>
    <n v="2500"/>
    <n v="2"/>
    <m/>
    <s v="FD"/>
    <s v="G"/>
    <s v="Y"/>
    <n v="0"/>
    <n v="1"/>
    <n v="1"/>
    <n v="0"/>
    <n v="1"/>
    <n v="13"/>
    <n v="0"/>
    <n v="399"/>
    <n v="399"/>
    <n v="0"/>
    <n v="0"/>
    <n v="355"/>
    <n v="0"/>
    <n v="100"/>
    <n v="100"/>
    <n v="453889"/>
    <n v="381267"/>
    <n v="24"/>
    <n v="24"/>
    <n v="0"/>
    <n v="0"/>
    <d v="2023-12-08T00:00:00"/>
    <s v="E042258"/>
    <n v="412000"/>
    <n v="412000"/>
    <s v="SWD"/>
    <n v="30"/>
    <s v="N"/>
    <s v="Y"/>
    <n v="434300"/>
    <n v="29700"/>
    <n v="404600"/>
    <n v="0"/>
    <n v="1.0541262135922329"/>
    <n v="493098.26503762143"/>
    <n v="496894.15214295668"/>
    <n v="0.14412653037751941"/>
    <n v="-3795.8879999999999"/>
    <n v="87214.824999999997"/>
    <n v="87214.824999999997"/>
    <n v="-57628.745109350653"/>
    <n v="19189.450408000001"/>
    <n v="0"/>
    <n v="7195.98477"/>
    <n v="64662.117624000006"/>
    <n v="69444.038625000001"/>
    <n v="0"/>
    <n v="0"/>
    <n v="132016.30000000002"/>
    <n v="25273.623"/>
    <n v="42091.021999999997"/>
    <n v="20220.720302999998"/>
    <n v="493098.27362064942"/>
    <n v="0"/>
    <n v="463500"/>
    <n v="29600"/>
    <n v="493100"/>
    <n v="1.1968446601941747"/>
    <n v="0.13539028321436794"/>
    <n v="0.97570000000000001"/>
    <n v="0.9819"/>
    <n v="0.9677"/>
    <n v="0.93440000000000001"/>
    <n v="0.91679999999999995"/>
    <n v="0.92691499999999993"/>
    <n v="0.75449322740184643"/>
    <n v="445900"/>
    <n v="0"/>
    <n v="445900"/>
    <n v="27400"/>
    <n v="473300"/>
    <n v="0.10207612456747404"/>
    <n v="-7.7441077441077436E-2"/>
    <n v="8.9799677642182829E-2"/>
    <n v="1.1395730873786409"/>
  </r>
  <r>
    <n v="2025"/>
    <n v="18131533453"/>
    <n v="-2.3025850929940455"/>
    <n v="0.1"/>
    <n v="4524"/>
    <n v="5"/>
    <s v="RES"/>
    <n v="3042"/>
    <x v="0"/>
    <s v="R2"/>
    <n v="11"/>
    <n v="259"/>
    <s v="CO"/>
    <s v="V"/>
    <s v="GD"/>
    <n v="1985"/>
    <n v="1985"/>
    <x v="3"/>
    <n v="39"/>
    <n v="39"/>
    <n v="2"/>
    <n v="964"/>
    <n v="1200"/>
    <n v="0"/>
    <n v="0"/>
    <n v="0"/>
    <n v="0"/>
    <n v="2164"/>
    <n v="2500"/>
    <n v="2"/>
    <m/>
    <s v="HP"/>
    <s v="E"/>
    <s v="N"/>
    <n v="0"/>
    <n v="1"/>
    <n v="0"/>
    <n v="0"/>
    <n v="1"/>
    <n v="12"/>
    <n v="0"/>
    <n v="418"/>
    <n v="418"/>
    <n v="0"/>
    <n v="0"/>
    <n v="350"/>
    <n v="0"/>
    <n v="100"/>
    <n v="100"/>
    <n v="514898"/>
    <n v="458259"/>
    <n v="228"/>
    <n v="228"/>
    <n v="0"/>
    <n v="0"/>
    <d v="2023-05-18T00:00:00"/>
    <s v="E040338"/>
    <n v="456500"/>
    <n v="456500"/>
    <s v="SWD"/>
    <n v="30"/>
    <s v="N"/>
    <s v="Y"/>
    <n v="456600"/>
    <n v="29700"/>
    <n v="426900"/>
    <n v="0"/>
    <n v="1.0002190580503834"/>
    <n v="490268.27460930747"/>
    <n v="526329.20210999215"/>
    <n v="0.15271397746384616"/>
    <n v="-36060.936000000002"/>
    <n v="87214.824999999997"/>
    <n v="87214.824999999997"/>
    <n v="-57628.745109350653"/>
    <n v="46722.525125"/>
    <n v="47273.897095"/>
    <n v="7195.98477"/>
    <n v="66596.454475999999"/>
    <n v="73421.010000000009"/>
    <n v="0"/>
    <n v="0"/>
    <n v="121861.20000000001"/>
    <n v="25273.623"/>
    <n v="0"/>
    <n v="21183.611745999999"/>
    <n v="490268.27510264941"/>
    <n v="0"/>
    <n v="460700"/>
    <n v="29600"/>
    <n v="490300"/>
    <n v="1.0740416210295729"/>
    <n v="7.3806395094174332E-2"/>
    <n v="0.97570000000000001"/>
    <n v="0.98329999999999995"/>
    <n v="0.97829999999999995"/>
    <n v="0.93440000000000001"/>
    <n v="0.91679999999999995"/>
    <n v="0.92691499999999993"/>
    <n v="0.7638453468462163"/>
    <n v="476100"/>
    <n v="0"/>
    <n v="476100"/>
    <n v="27400"/>
    <n v="503500"/>
    <n v="0.11524947294448348"/>
    <n v="-7.7441077441077436E-2"/>
    <n v="0.10271572492334648"/>
    <n v="1.0239629003285871"/>
  </r>
  <r>
    <n v="2025"/>
    <n v="18131721006"/>
    <n v="1.8405496333974869"/>
    <n v="6.3"/>
    <n v="0"/>
    <n v="1"/>
    <s v="RES"/>
    <n v="3041"/>
    <x v="0"/>
    <s v="R1"/>
    <n v="11"/>
    <m/>
    <s v="RN"/>
    <s v="A+"/>
    <s v="AV"/>
    <n v="1984"/>
    <n v="1984"/>
    <x v="3"/>
    <n v="40"/>
    <n v="40"/>
    <n v="1"/>
    <n v="2404"/>
    <n v="0"/>
    <n v="0"/>
    <n v="2404"/>
    <n v="0"/>
    <n v="2404"/>
    <n v="2404"/>
    <n v="2500"/>
    <n v="0"/>
    <m/>
    <s v="BH"/>
    <s v="E"/>
    <m/>
    <n v="1"/>
    <n v="0"/>
    <n v="0"/>
    <n v="0"/>
    <n v="0"/>
    <n v="9"/>
    <n v="0"/>
    <n v="0"/>
    <n v="0"/>
    <n v="0"/>
    <n v="2300"/>
    <n v="0"/>
    <n v="2300"/>
    <n v="100"/>
    <n v="100"/>
    <n v="405210"/>
    <n v="303908"/>
    <n v="426"/>
    <n v="365"/>
    <n v="61"/>
    <n v="0"/>
    <d v="2022-11-01T00:00:00"/>
    <s v="E038645"/>
    <n v="360000"/>
    <n v="360000"/>
    <s v="SWD"/>
    <n v="30"/>
    <s v="N"/>
    <s v="Y"/>
    <n v="628900"/>
    <n v="160500"/>
    <n v="468400"/>
    <n v="0"/>
    <n v="1.7469444444444444"/>
    <n v="471883.91777807841"/>
    <n v="523809.21687608853"/>
    <n v="-0.16710253319114562"/>
    <n v="-51925.312694000007"/>
    <n v="87214.824999999997"/>
    <n v="87214.824999999997"/>
    <n v="46064.992780028762"/>
    <n v="30313.66692"/>
    <n v="0"/>
    <n v="7380.4971999999998"/>
    <n v="166076.63543600001"/>
    <n v="0"/>
    <n v="0"/>
    <n v="68775.213831999994"/>
    <n v="91395.900000000009"/>
    <n v="0"/>
    <n v="0"/>
    <n v="0"/>
    <n v="532511.24347402877"/>
    <n v="0"/>
    <n v="399200"/>
    <n v="133300"/>
    <n v="532500"/>
    <n v="1.4791666666666667"/>
    <n v="-0.15328351089203371"/>
    <n v="0.97570000000000001"/>
    <n v="0.85299999999999998"/>
    <n v="0.9677"/>
    <n v="0.93440000000000001"/>
    <n v="0.91679999999999995"/>
    <n v="0.92691499999999993"/>
    <n v="0.6554463010222783"/>
    <n v="421100"/>
    <n v="0"/>
    <n v="421100"/>
    <n v="123500"/>
    <n v="544600"/>
    <n v="-0.10098206660973527"/>
    <n v="-0.23052959501557632"/>
    <n v="-0.13404356813483861"/>
    <n v="1.3685407980722222"/>
  </r>
  <r>
    <n v="2025"/>
    <n v="18131533438"/>
    <n v="-1.3862943611198906"/>
    <n v="0.25"/>
    <n v="10793"/>
    <n v="5"/>
    <s v="RES"/>
    <n v="3042"/>
    <x v="0"/>
    <s v="R1"/>
    <n v="11"/>
    <n v="259"/>
    <s v="SL"/>
    <s v="G"/>
    <s v="GD"/>
    <n v="1984"/>
    <n v="1984"/>
    <x v="3"/>
    <n v="40"/>
    <n v="40"/>
    <n v="1"/>
    <n v="1611"/>
    <n v="0"/>
    <n v="0"/>
    <n v="552"/>
    <n v="552"/>
    <n v="0"/>
    <n v="2163"/>
    <n v="2500"/>
    <n v="2"/>
    <s v="S"/>
    <s v="FD"/>
    <s v="G"/>
    <s v="Y"/>
    <n v="0"/>
    <n v="0"/>
    <n v="2"/>
    <n v="0"/>
    <n v="0"/>
    <n v="15"/>
    <n v="0"/>
    <n v="440"/>
    <n v="440"/>
    <n v="0"/>
    <n v="806"/>
    <n v="544"/>
    <n v="0"/>
    <n v="100"/>
    <n v="100"/>
    <n v="435979"/>
    <n v="370582"/>
    <n v="903"/>
    <n v="365"/>
    <n v="365"/>
    <n v="173"/>
    <d v="2021-07-12T00:00:00"/>
    <s v="E032184"/>
    <n v="612000"/>
    <n v="556232"/>
    <s v="SWD"/>
    <n v="30"/>
    <s v="N"/>
    <s v="Y"/>
    <n v="541900"/>
    <n v="81800"/>
    <n v="460100"/>
    <n v="55768"/>
    <n v="0.88545751633986924"/>
    <n v="489564.14854911668"/>
    <n v="565950.89205732848"/>
    <n v="4.4382528247515193E-2"/>
    <n v="-76386.748710000014"/>
    <n v="87214.824999999997"/>
    <n v="87214.824999999997"/>
    <n v="-34695.961780777012"/>
    <n v="-14329.694740000001"/>
    <n v="47273.897095"/>
    <n v="7380.4971999999998"/>
    <n v="111293.452449"/>
    <n v="0"/>
    <n v="0"/>
    <n v="15791.979216"/>
    <n v="152326.5"/>
    <n v="0"/>
    <n v="84182.043999999994"/>
    <n v="22298.538680000001"/>
    <n v="489564.15340922296"/>
    <n v="55800"/>
    <n v="437000"/>
    <n v="52500"/>
    <n v="545300"/>
    <n v="0.89101307189542489"/>
    <n v="6.2742203358553241E-3"/>
    <n v="0.97570000000000001"/>
    <n v="0.98809999999999998"/>
    <n v="0.97829999999999995"/>
    <n v="0.93440000000000001"/>
    <n v="0.91679999999999995"/>
    <n v="0.92691499999999993"/>
    <n v="0.76757407425886937"/>
    <n v="493200"/>
    <n v="51700"/>
    <n v="544900"/>
    <n v="48700"/>
    <n v="593600"/>
    <n v="0.18430775918278636"/>
    <n v="-0.40464547677261614"/>
    <n v="9.5405056283447129E-2"/>
    <n v="0.84511969165032674"/>
  </r>
  <r>
    <n v="2025"/>
    <n v="18131532421"/>
    <n v="-1.6094379124341003"/>
    <n v="0.2"/>
    <n v="8602"/>
    <n v="5"/>
    <s v="RES"/>
    <n v="3041"/>
    <x v="0"/>
    <s v="R1"/>
    <n v="11"/>
    <n v="259"/>
    <s v="SL"/>
    <s v="G"/>
    <s v="GD"/>
    <n v="1984"/>
    <n v="1984"/>
    <x v="3"/>
    <n v="40"/>
    <n v="40"/>
    <n v="1"/>
    <n v="1696"/>
    <n v="0"/>
    <n v="0"/>
    <n v="528"/>
    <n v="528"/>
    <n v="0"/>
    <n v="2224"/>
    <n v="2500"/>
    <n v="2"/>
    <s v="B"/>
    <s v="HP"/>
    <s v="E"/>
    <m/>
    <n v="0"/>
    <n v="1"/>
    <n v="0"/>
    <n v="1"/>
    <n v="1"/>
    <n v="11"/>
    <n v="0"/>
    <n v="528"/>
    <n v="528"/>
    <n v="0"/>
    <n v="422"/>
    <n v="0"/>
    <n v="0"/>
    <n v="100"/>
    <n v="100"/>
    <n v="437198"/>
    <n v="371618"/>
    <n v="752"/>
    <n v="365"/>
    <n v="365"/>
    <n v="22"/>
    <d v="2021-12-10T00:00:00"/>
    <s v="E034415"/>
    <n v="405000"/>
    <n v="401595"/>
    <s v="SWD"/>
    <n v="30"/>
    <s v="N"/>
    <s v="Y"/>
    <n v="453500"/>
    <n v="69100"/>
    <n v="384400"/>
    <n v="3405"/>
    <n v="1.1197530864197531"/>
    <n v="440692.21428523021"/>
    <n v="470482.46451181959"/>
    <n v="3.7447551293979253E-2"/>
    <n v="-29790.262710000003"/>
    <n v="87214.824999999997"/>
    <n v="87214.824999999997"/>
    <n v="-40280.764218962147"/>
    <n v="-14329.694740000001"/>
    <n v="47273.897095"/>
    <n v="7380.4971999999998"/>
    <n v="117165.54646400001"/>
    <n v="0"/>
    <n v="0"/>
    <n v="15105.371423999999"/>
    <n v="111706.1"/>
    <n v="25273.623"/>
    <n v="0"/>
    <n v="26758.246416000002"/>
    <n v="440692.2099300379"/>
    <n v="3400"/>
    <n v="393800"/>
    <n v="46900"/>
    <n v="444100"/>
    <n v="1.0965432098765433"/>
    <n v="-2.0727673649393607E-2"/>
    <n v="0.97570000000000001"/>
    <n v="0.98809999999999998"/>
    <n v="0.97829999999999995"/>
    <n v="0.93440000000000001"/>
    <n v="0.91679999999999995"/>
    <n v="0.92691499999999993"/>
    <n v="0.76757407425886937"/>
    <n v="403300"/>
    <n v="3200"/>
    <n v="406500"/>
    <n v="43500"/>
    <n v="450000"/>
    <n v="5.7492195629552552E-2"/>
    <n v="-0.37047756874095511"/>
    <n v="-7.717750826901874E-3"/>
    <n v="1.037554906888889"/>
  </r>
  <r>
    <n v="2025"/>
    <n v="18131534482"/>
    <n v="-2.6592600369327779"/>
    <n v="7.0000000000000007E-2"/>
    <n v="3026"/>
    <n v="5"/>
    <s v="CON"/>
    <n v="3042"/>
    <x v="0"/>
    <s v="R2"/>
    <n v="11"/>
    <n v="262"/>
    <s v="CE"/>
    <s v="G"/>
    <s v="GD"/>
    <n v="1983"/>
    <n v="1983"/>
    <x v="4"/>
    <n v="41"/>
    <n v="41"/>
    <n v="1"/>
    <n v="2026"/>
    <n v="0"/>
    <n v="0"/>
    <n v="660"/>
    <n v="660"/>
    <n v="0"/>
    <n v="2686"/>
    <n v="3000"/>
    <n v="2"/>
    <s v="B"/>
    <s v="FD"/>
    <s v="G"/>
    <s v="Y"/>
    <n v="1"/>
    <n v="0"/>
    <n v="0"/>
    <n v="0"/>
    <n v="1"/>
    <n v="13"/>
    <n v="0"/>
    <n v="1000"/>
    <n v="1000"/>
    <n v="0"/>
    <n v="140"/>
    <n v="0"/>
    <n v="0"/>
    <n v="100"/>
    <n v="100"/>
    <n v="460374"/>
    <n v="405129"/>
    <n v="934"/>
    <n v="365"/>
    <n v="365"/>
    <n v="204"/>
    <d v="2021-06-11T00:00:00"/>
    <s v="E031724"/>
    <n v="349000"/>
    <n v="349000"/>
    <s v="SWD"/>
    <n v="30"/>
    <s v="N"/>
    <s v="Y"/>
    <n v="375200"/>
    <n v="56300"/>
    <n v="318900"/>
    <n v="0"/>
    <n v="1.0750716332378223"/>
    <n v="403969.98989555106"/>
    <n v="489922.90089866548"/>
    <n v="0.30576466124377794"/>
    <n v="-85952.914710000012"/>
    <n v="87214.824999999997"/>
    <n v="87214.824999999997"/>
    <n v="-66555.550678307874"/>
    <n v="-14329.694740000001"/>
    <n v="47273.897095"/>
    <n v="7565.0096299999996"/>
    <n v="139963.08793400001"/>
    <n v="0"/>
    <n v="0"/>
    <n v="18881.71428"/>
    <n v="132016.30000000002"/>
    <n v="0"/>
    <n v="0"/>
    <n v="50678.497000000003"/>
    <n v="403969.99581069208"/>
    <n v="0"/>
    <n v="383300"/>
    <n v="20700"/>
    <n v="404000"/>
    <n v="1.157593123209169"/>
    <n v="7.6759061833688705E-2"/>
    <n v="0.97570000000000001"/>
    <n v="0.98809999999999998"/>
    <n v="0.97829999999999995"/>
    <n v="0.93310000000000004"/>
    <n v="1.0153000000000001"/>
    <n v="0.92691499999999993"/>
    <n v="0.84885876760693768"/>
    <n v="456100"/>
    <n v="0"/>
    <n v="456100"/>
    <n v="19100"/>
    <n v="475200"/>
    <n v="0.43022891188460333"/>
    <n v="-0.66074600355239788"/>
    <n v="0.26652452025586354"/>
    <n v="1.1153211612893981"/>
  </r>
  <r>
    <n v="2025"/>
    <n v="18131534484"/>
    <n v="-2.9957322735539909"/>
    <n v="0.05"/>
    <n v="1982"/>
    <n v="5"/>
    <s v="CON"/>
    <n v="3042"/>
    <x v="0"/>
    <s v="R2"/>
    <n v="11"/>
    <n v="262"/>
    <s v="CE"/>
    <s v="G+"/>
    <s v="GD"/>
    <n v="1983"/>
    <n v="1983"/>
    <x v="4"/>
    <n v="41"/>
    <n v="41"/>
    <n v="1"/>
    <n v="1762"/>
    <n v="0"/>
    <n v="0"/>
    <n v="0"/>
    <n v="0"/>
    <n v="0"/>
    <n v="1762"/>
    <n v="2000"/>
    <n v="2"/>
    <s v="B"/>
    <s v="FD"/>
    <s v="G"/>
    <s v="Y"/>
    <n v="0"/>
    <n v="1"/>
    <n v="0"/>
    <n v="1"/>
    <n v="0"/>
    <n v="10"/>
    <n v="220"/>
    <n v="0"/>
    <n v="220"/>
    <n v="0"/>
    <n v="102"/>
    <n v="0"/>
    <n v="102"/>
    <n v="100"/>
    <n v="100"/>
    <n v="341308"/>
    <n v="293525"/>
    <n v="613"/>
    <n v="365"/>
    <n v="248"/>
    <n v="0"/>
    <d v="2022-04-28T00:00:00"/>
    <s v="E036249"/>
    <n v="352000"/>
    <n v="352000"/>
    <s v="SWD"/>
    <n v="30"/>
    <s v="N"/>
    <s v="Y"/>
    <n v="355800"/>
    <n v="53400"/>
    <n v="302400"/>
    <n v="0"/>
    <n v="1.0107954545454545"/>
    <n v="399046.95093236049"/>
    <n v="433180.21996016096"/>
    <n v="0.21748234952265588"/>
    <n v="-34133.282592000003"/>
    <n v="87214.824999999997"/>
    <n v="87214.824999999997"/>
    <n v="-74976.725999739167"/>
    <n v="19189.450408000001"/>
    <n v="47273.897095"/>
    <n v="7565.0096299999996"/>
    <n v="121725.05475800001"/>
    <n v="0"/>
    <n v="0"/>
    <n v="0"/>
    <n v="101551"/>
    <n v="25273.623"/>
    <n v="0"/>
    <n v="11149.269340000001"/>
    <n v="399046.94563926081"/>
    <n v="0"/>
    <n v="386800"/>
    <n v="12200"/>
    <n v="399000"/>
    <n v="1.1335227272727273"/>
    <n v="0.12141652613827993"/>
    <n v="0.97570000000000001"/>
    <n v="0.9819"/>
    <n v="0.97829999999999995"/>
    <n v="0.99099999999999999"/>
    <n v="1.0153000000000001"/>
    <n v="0.92691499999999993"/>
    <n v="0.89587468443661111"/>
    <n v="411900"/>
    <n v="0"/>
    <n v="411900"/>
    <n v="11300"/>
    <n v="423200"/>
    <n v="0.36210317460317459"/>
    <n v="-0.78838951310861427"/>
    <n v="0.18943226531759416"/>
    <n v="1.1053031744545456"/>
  </r>
  <r>
    <n v="2025"/>
    <n v="18131524466"/>
    <n v="-1.1711829815029451"/>
    <n v="0.31"/>
    <n v="13566"/>
    <n v="5"/>
    <s v="RES"/>
    <n v="3041"/>
    <x v="0"/>
    <s v="R1"/>
    <n v="11"/>
    <n v="259"/>
    <s v="CP"/>
    <s v="G+"/>
    <s v="GD"/>
    <n v="1983"/>
    <n v="1983"/>
    <x v="4"/>
    <n v="41"/>
    <n v="41"/>
    <n v="1"/>
    <n v="2117"/>
    <n v="0"/>
    <n v="0"/>
    <n v="1008"/>
    <n v="1008"/>
    <n v="0"/>
    <n v="3125"/>
    <n v="3500"/>
    <n v="2"/>
    <m/>
    <s v="HP"/>
    <s v="E"/>
    <m/>
    <n v="0"/>
    <n v="1"/>
    <n v="0"/>
    <n v="1"/>
    <n v="1"/>
    <n v="14"/>
    <n v="480"/>
    <n v="0"/>
    <n v="480"/>
    <n v="0"/>
    <n v="560"/>
    <n v="560"/>
    <n v="0"/>
    <n v="100"/>
    <n v="100"/>
    <n v="576686"/>
    <n v="495950"/>
    <n v="770"/>
    <n v="365"/>
    <n v="365"/>
    <n v="40"/>
    <d v="2021-11-22T00:00:00"/>
    <s v="E034159"/>
    <n v="625000"/>
    <n v="625000"/>
    <s v="SWD"/>
    <n v="30"/>
    <s v="N"/>
    <s v="Y"/>
    <n v="567600"/>
    <n v="94000"/>
    <n v="473600"/>
    <n v="0"/>
    <n v="0.90815999999999997"/>
    <n v="550658.92300056957"/>
    <n v="586003.7220951668"/>
    <n v="3.2423752810371388E-2"/>
    <n v="-35344.810710000005"/>
    <n v="87214.824999999997"/>
    <n v="87214.824999999997"/>
    <n v="-29312.187298876561"/>
    <n v="19189.450408000001"/>
    <n v="47273.897095"/>
    <n v="7565.0096299999996"/>
    <n v="146249.682703"/>
    <n v="0"/>
    <n v="0"/>
    <n v="28837.527263999997"/>
    <n v="142171.4"/>
    <n v="25273.623"/>
    <n v="0"/>
    <n v="24325.67856"/>
    <n v="550658.92065112339"/>
    <n v="0"/>
    <n v="492800"/>
    <n v="57900"/>
    <n v="550700"/>
    <n v="0.88112000000000001"/>
    <n v="-2.9774489076814657E-2"/>
    <n v="0.97570000000000001"/>
    <n v="0.9819"/>
    <n v="0.97829999999999995"/>
    <n v="0.99619999999999997"/>
    <n v="1.0153000000000001"/>
    <n v="0.92691499999999993"/>
    <n v="0.90057554050025423"/>
    <n v="519400"/>
    <n v="0"/>
    <n v="519400"/>
    <n v="53700"/>
    <n v="573100"/>
    <n v="9.6706081081081086E-2"/>
    <n v="-0.42872340425531913"/>
    <n v="9.6899224806201549E-3"/>
    <n v="0.86040830286400005"/>
  </r>
  <r>
    <n v="2025"/>
    <n v="18131742408"/>
    <n v="1.0152306797290584"/>
    <n v="2.76"/>
    <n v="0"/>
    <n v="1"/>
    <s v="RES"/>
    <s v="HE"/>
    <x v="0"/>
    <s v="SR"/>
    <n v="11"/>
    <n v="331"/>
    <s v="CU"/>
    <s v="V+"/>
    <s v="GD"/>
    <n v="1983"/>
    <n v="1995"/>
    <x v="4"/>
    <n v="41"/>
    <n v="29"/>
    <n v="1"/>
    <n v="3657"/>
    <n v="0"/>
    <n v="0"/>
    <n v="0"/>
    <n v="0"/>
    <n v="0"/>
    <n v="3657"/>
    <n v="4000"/>
    <n v="3"/>
    <m/>
    <s v="HP"/>
    <s v="E"/>
    <m/>
    <n v="0"/>
    <n v="1"/>
    <n v="0"/>
    <n v="0"/>
    <n v="0"/>
    <n v="17"/>
    <n v="900"/>
    <n v="0"/>
    <n v="900"/>
    <n v="0"/>
    <n v="0"/>
    <n v="2138"/>
    <n v="0"/>
    <n v="100"/>
    <n v="100"/>
    <n v="981674"/>
    <n v="912957"/>
    <n v="837"/>
    <n v="365"/>
    <n v="365"/>
    <n v="107"/>
    <d v="2021-09-16T00:00:00"/>
    <s v="E033169"/>
    <n v="1100000"/>
    <n v="970981"/>
    <s v="SWD"/>
    <n v="30"/>
    <s v="N"/>
    <s v="Y"/>
    <n v="902400"/>
    <n v="218200"/>
    <n v="684200"/>
    <n v="129019"/>
    <n v="0.82036363636363641"/>
    <n v="836540.80120821833"/>
    <n v="892560.86553373409"/>
    <n v="-1.0903296172723748E-2"/>
    <n v="-56020.072710000008"/>
    <n v="87214.824999999997"/>
    <n v="87214.824999999997"/>
    <n v="25409.037106734198"/>
    <n v="141724.10243"/>
    <n v="47273.897095"/>
    <n v="7565.0096299999996"/>
    <n v="252638.20956300001"/>
    <n v="0"/>
    <n v="0"/>
    <n v="0"/>
    <n v="172636.7"/>
    <n v="25273.623"/>
    <n v="0"/>
    <n v="45610.647299999997"/>
    <n v="836540.80341473408"/>
    <n v="129000"/>
    <n v="723900"/>
    <n v="112600"/>
    <n v="965500"/>
    <n v="0.87772727272727269"/>
    <n v="6.9924645390070927E-2"/>
    <n v="0.97570000000000001"/>
    <n v="1.0051000000000001"/>
    <n v="0.97829999999999995"/>
    <n v="1.034"/>
    <n v="1.0153000000000001"/>
    <n v="0.92691499999999993"/>
    <n v="0.95683303645464646"/>
    <n v="776200"/>
    <n v="119600"/>
    <n v="895800"/>
    <n v="104400"/>
    <n v="1000200"/>
    <n v="0.30926629640456005"/>
    <n v="-0.52153987167736027"/>
    <n v="0.10837765957446809"/>
    <n v="0.8583453884454546"/>
  </r>
  <r>
    <n v="2025"/>
    <n v="18131534459"/>
    <n v="-3.5065578973199818"/>
    <n v="0.03"/>
    <n v="1518"/>
    <n v="5"/>
    <s v="CON"/>
    <n v="3042"/>
    <x v="0"/>
    <s v="R2"/>
    <n v="11"/>
    <n v="262"/>
    <s v="CE"/>
    <s v="A+"/>
    <s v="GD"/>
    <n v="1980"/>
    <n v="1980"/>
    <x v="4"/>
    <n v="44"/>
    <n v="44"/>
    <n v="1"/>
    <n v="1518"/>
    <n v="0"/>
    <n v="0"/>
    <n v="0"/>
    <n v="0"/>
    <n v="0"/>
    <n v="1518"/>
    <n v="2000"/>
    <n v="2"/>
    <s v="B"/>
    <s v="FD"/>
    <s v="G"/>
    <s v="Y"/>
    <n v="1"/>
    <n v="0"/>
    <n v="0"/>
    <n v="0"/>
    <n v="0"/>
    <n v="11"/>
    <n v="0"/>
    <n v="0"/>
    <n v="0"/>
    <n v="0"/>
    <n v="176"/>
    <n v="0"/>
    <n v="0"/>
    <n v="100"/>
    <n v="100"/>
    <n v="255810"/>
    <n v="214880"/>
    <n v="77"/>
    <n v="77"/>
    <n v="0"/>
    <n v="0"/>
    <d v="2023-10-16T00:00:00"/>
    <s v="E041829"/>
    <n v="345000"/>
    <n v="329069"/>
    <s v="SWD"/>
    <n v="30"/>
    <s v="N"/>
    <s v="Y"/>
    <n v="235100"/>
    <n v="35300"/>
    <n v="199800"/>
    <n v="15931"/>
    <n v="0.68144927536231881"/>
    <n v="316143.14672659501"/>
    <n v="328321.61785621219"/>
    <n v="0.39651900406725732"/>
    <n v="-12178.474"/>
    <n v="87214.824999999997"/>
    <n v="87214.824999999997"/>
    <n v="-87761.591044208326"/>
    <n v="30313.66692"/>
    <n v="47273.897095"/>
    <n v="8118.5469199999998"/>
    <n v="104868.69076200001"/>
    <n v="0"/>
    <n v="0"/>
    <n v="0"/>
    <n v="111706.1"/>
    <n v="0"/>
    <n v="0"/>
    <n v="0"/>
    <n v="376770.48665279162"/>
    <n v="15900"/>
    <n v="377300"/>
    <n v="-500"/>
    <n v="392700"/>
    <n v="1.1382608695652174"/>
    <n v="0.67035304125903872"/>
    <n v="0.97570000000000001"/>
    <n v="0.85299999999999998"/>
    <n v="0.97829999999999995"/>
    <n v="0.99099999999999999"/>
    <n v="1.0153000000000001"/>
    <n v="0.92691499999999993"/>
    <n v="0.77826775213812927"/>
    <n v="370200"/>
    <n v="14800"/>
    <n v="385000"/>
    <n v="-500"/>
    <n v="384500"/>
    <n v="0.92692692692692691"/>
    <n v="-1.0141643059490084"/>
    <n v="0.63547426626967252"/>
    <n v="1.0791928289855073"/>
  </r>
  <r>
    <n v="2025"/>
    <n v="18131644583"/>
    <n v="-3.5065578973199818"/>
    <n v="0.03"/>
    <n v="1153"/>
    <n v="5"/>
    <s v="CON"/>
    <n v="3042"/>
    <x v="0"/>
    <s v="R1"/>
    <n v="11"/>
    <n v="262"/>
    <s v="CE"/>
    <s v="G"/>
    <s v="AV"/>
    <n v="1980"/>
    <n v="1980"/>
    <x v="4"/>
    <n v="44"/>
    <n v="44"/>
    <n v="1"/>
    <n v="1160"/>
    <n v="0"/>
    <n v="0"/>
    <n v="0"/>
    <n v="0"/>
    <n v="0"/>
    <n v="1160"/>
    <n v="1500"/>
    <n v="0"/>
    <m/>
    <s v="HP"/>
    <s v="E"/>
    <m/>
    <n v="0"/>
    <n v="1"/>
    <n v="0"/>
    <n v="0"/>
    <n v="0"/>
    <n v="8"/>
    <n v="0"/>
    <n v="0"/>
    <n v="0"/>
    <n v="0"/>
    <n v="0"/>
    <n v="160"/>
    <n v="0"/>
    <n v="100"/>
    <n v="100"/>
    <n v="203746"/>
    <n v="162997"/>
    <n v="985"/>
    <n v="365"/>
    <n v="365"/>
    <n v="255"/>
    <d v="2021-04-21T00:00:00"/>
    <s v="E031241"/>
    <n v="205000"/>
    <n v="192605"/>
    <s v="SWD"/>
    <n v="30"/>
    <s v="N"/>
    <s v="Y"/>
    <n v="272400"/>
    <n v="40900"/>
    <n v="231500"/>
    <n v="12395"/>
    <n v="1.3287804878048781"/>
    <n v="165417.33973182217"/>
    <n v="267108.13919429248"/>
    <n v="-1.9426801783067247E-2"/>
    <n v="-101690.80071000001"/>
    <n v="87214.824999999997"/>
    <n v="87214.824999999997"/>
    <n v="-87761.591044208326"/>
    <n v="-14329.694740000001"/>
    <n v="0"/>
    <n v="8118.5469199999998"/>
    <n v="80136.812440000009"/>
    <n v="0"/>
    <n v="0"/>
    <n v="0"/>
    <n v="81240.800000000003"/>
    <n v="25273.623"/>
    <n v="0"/>
    <n v="0"/>
    <n v="165417.34586579166"/>
    <n v="12400"/>
    <n v="166000"/>
    <n v="-500"/>
    <n v="177900"/>
    <n v="0.86780487804878048"/>
    <n v="-0.34691629955947134"/>
    <n v="0.97570000000000001"/>
    <n v="0.98809999999999998"/>
    <n v="0.9677"/>
    <n v="1.0062"/>
    <n v="1.0153000000000001"/>
    <n v="0.92691499999999993"/>
    <n v="0.90544119505102505"/>
    <n v="259400"/>
    <n v="11500"/>
    <n v="270900"/>
    <n v="-500"/>
    <n v="270400"/>
    <n v="0.17019438444924406"/>
    <n v="-1.0122249388753055"/>
    <n v="-7.3421439060205578E-3"/>
    <n v="0.82297170385365848"/>
  </r>
  <r>
    <n v="2025"/>
    <n v="18131644564"/>
    <n v="-3.5065578973199818"/>
    <n v="0.03"/>
    <n v="1160"/>
    <n v="5"/>
    <s v="CON"/>
    <n v="3042"/>
    <x v="0"/>
    <s v="R1"/>
    <n v="11"/>
    <n v="262"/>
    <s v="CE"/>
    <s v="G"/>
    <s v="AV"/>
    <n v="1980"/>
    <n v="1980"/>
    <x v="4"/>
    <n v="44"/>
    <n v="44"/>
    <n v="1"/>
    <n v="1160"/>
    <n v="0"/>
    <n v="0"/>
    <n v="0"/>
    <n v="0"/>
    <n v="0"/>
    <n v="1160"/>
    <n v="1500"/>
    <n v="0"/>
    <m/>
    <s v="HP"/>
    <s v="G"/>
    <m/>
    <n v="0"/>
    <n v="1"/>
    <n v="0"/>
    <n v="1"/>
    <n v="0"/>
    <n v="8"/>
    <n v="0"/>
    <n v="0"/>
    <n v="0"/>
    <n v="0"/>
    <n v="0"/>
    <n v="0"/>
    <n v="0"/>
    <n v="100"/>
    <n v="100"/>
    <n v="200747"/>
    <n v="158590"/>
    <n v="712"/>
    <n v="365"/>
    <n v="347"/>
    <n v="0"/>
    <d v="2022-01-19T00:00:00"/>
    <s v="E034885"/>
    <n v="272000"/>
    <n v="259605"/>
    <s v="SWD"/>
    <n v="30"/>
    <s v="N"/>
    <s v="Y"/>
    <n v="268400"/>
    <n v="40300"/>
    <n v="228100"/>
    <n v="12395"/>
    <n v="0.98676470588235299"/>
    <n v="242394.18020366179"/>
    <n v="267108.13919429248"/>
    <n v="-4.8131922716375484E-3"/>
    <n v="-24713.972538000002"/>
    <n v="87214.824999999997"/>
    <n v="87214.824999999997"/>
    <n v="-87761.591044208326"/>
    <n v="-14329.694740000001"/>
    <n v="0"/>
    <n v="8118.5469199999998"/>
    <n v="80136.812440000009"/>
    <n v="0"/>
    <n v="0"/>
    <n v="0"/>
    <n v="81240.800000000003"/>
    <n v="25273.623"/>
    <n v="0"/>
    <n v="0"/>
    <n v="242394.17403779164"/>
    <n v="12400"/>
    <n v="242900"/>
    <n v="-500"/>
    <n v="254800"/>
    <n v="0.93676470588235294"/>
    <n v="-5.0670640834575259E-2"/>
    <n v="0.97570000000000001"/>
    <n v="0.98809999999999998"/>
    <n v="0.9677"/>
    <n v="1.0062"/>
    <n v="1.0153000000000001"/>
    <n v="0.92691499999999993"/>
    <n v="0.90544119505102505"/>
    <n v="259400"/>
    <n v="11500"/>
    <n v="270900"/>
    <n v="-500"/>
    <n v="270400"/>
    <n v="0.18763700131521263"/>
    <n v="-1.0124069478908189"/>
    <n v="7.4515648286140089E-3"/>
    <n v="0.90325745390441181"/>
  </r>
  <r>
    <n v="2025"/>
    <n v="18131644570"/>
    <n v="-3.5065578973199818"/>
    <n v="0.03"/>
    <n v="1153"/>
    <n v="5"/>
    <s v="CON"/>
    <n v="3042"/>
    <x v="0"/>
    <s v="R1"/>
    <n v="11"/>
    <n v="262"/>
    <s v="CE"/>
    <s v="G"/>
    <s v="AV"/>
    <n v="1980"/>
    <n v="1980"/>
    <x v="4"/>
    <n v="44"/>
    <n v="44"/>
    <n v="1"/>
    <n v="1160"/>
    <n v="0"/>
    <n v="0"/>
    <n v="0"/>
    <n v="0"/>
    <n v="0"/>
    <n v="1160"/>
    <n v="1500"/>
    <n v="0"/>
    <m/>
    <s v="HP"/>
    <s v="E"/>
    <m/>
    <n v="0"/>
    <n v="1"/>
    <n v="0"/>
    <n v="0"/>
    <n v="0"/>
    <n v="8"/>
    <n v="0"/>
    <n v="0"/>
    <n v="0"/>
    <n v="0"/>
    <n v="0"/>
    <n v="0"/>
    <n v="0"/>
    <n v="100"/>
    <n v="100"/>
    <n v="207845"/>
    <n v="164198"/>
    <n v="503"/>
    <n v="365"/>
    <n v="138"/>
    <n v="0"/>
    <d v="2022-08-16T00:00:00"/>
    <s v="E037695"/>
    <n v="283000"/>
    <n v="270605"/>
    <s v="SWD"/>
    <n v="30"/>
    <s v="N"/>
    <s v="Y"/>
    <n v="270500"/>
    <n v="40600"/>
    <n v="229900"/>
    <n v="12395"/>
    <n v="0.95583038869257952"/>
    <n v="222508.97012519219"/>
    <n v="267108.13919429248"/>
    <n v="-1.2539226638475114E-2"/>
    <n v="-44599.182652000003"/>
    <n v="87214.824999999997"/>
    <n v="87214.824999999997"/>
    <n v="-87761.591044208326"/>
    <n v="-14329.694740000001"/>
    <n v="0"/>
    <n v="8118.5469199999998"/>
    <n v="80136.812440000009"/>
    <n v="0"/>
    <n v="0"/>
    <n v="0"/>
    <n v="81240.800000000003"/>
    <n v="25273.623"/>
    <n v="0"/>
    <n v="0"/>
    <n v="222508.96392379169"/>
    <n v="12400"/>
    <n v="223100"/>
    <n v="-500"/>
    <n v="235000"/>
    <n v="0.83038869257950532"/>
    <n v="-0.13123844731977818"/>
    <n v="0.97570000000000001"/>
    <n v="0.98809999999999998"/>
    <n v="0.9677"/>
    <n v="1.0062"/>
    <n v="1.0153000000000001"/>
    <n v="0.92691499999999993"/>
    <n v="0.90544119505102505"/>
    <n v="259400"/>
    <n v="11500"/>
    <n v="270900"/>
    <n v="-500"/>
    <n v="270400"/>
    <n v="0.17833840800347978"/>
    <n v="-1.0123152709359606"/>
    <n v="-3.6968576709796671E-4"/>
    <n v="0.79788274681272087"/>
  </r>
  <r>
    <n v="2025"/>
    <n v="18131644565"/>
    <n v="-3.5065578973199818"/>
    <n v="0.03"/>
    <n v="1160"/>
    <n v="5"/>
    <s v="CON"/>
    <n v="3042"/>
    <x v="0"/>
    <s v="R1"/>
    <n v="11"/>
    <n v="262"/>
    <s v="CE"/>
    <s v="G"/>
    <s v="AV"/>
    <n v="1980"/>
    <n v="1980"/>
    <x v="4"/>
    <n v="44"/>
    <n v="44"/>
    <n v="1"/>
    <n v="1160"/>
    <n v="0"/>
    <n v="0"/>
    <n v="0"/>
    <n v="0"/>
    <n v="0"/>
    <n v="1160"/>
    <n v="1500"/>
    <n v="0"/>
    <m/>
    <s v="ER"/>
    <s v="E"/>
    <m/>
    <n v="0"/>
    <n v="1"/>
    <n v="0"/>
    <n v="0"/>
    <n v="0"/>
    <n v="8"/>
    <n v="0"/>
    <n v="0"/>
    <n v="0"/>
    <n v="0"/>
    <n v="0"/>
    <n v="0"/>
    <n v="0"/>
    <n v="100"/>
    <n v="100"/>
    <n v="240409"/>
    <n v="187519"/>
    <n v="145"/>
    <n v="145"/>
    <n v="0"/>
    <n v="0"/>
    <d v="2023-08-09T00:00:00"/>
    <s v="E041136"/>
    <n v="252500"/>
    <n v="240105"/>
    <s v="SWD"/>
    <n v="30"/>
    <s v="N"/>
    <s v="Y"/>
    <n v="261800"/>
    <n v="39300"/>
    <n v="222500"/>
    <n v="12395"/>
    <n v="1.0368316831683169"/>
    <n v="244174.65459955879"/>
    <n v="267108.13919429248"/>
    <n v="2.0275550780337975E-2"/>
    <n v="-22933.49"/>
    <n v="87214.824999999997"/>
    <n v="87214.824999999997"/>
    <n v="-87761.591044208326"/>
    <n v="-14329.694740000001"/>
    <n v="0"/>
    <n v="8118.5469199999998"/>
    <n v="80136.812440000009"/>
    <n v="0"/>
    <n v="0"/>
    <n v="0"/>
    <n v="81240.800000000003"/>
    <n v="25273.623"/>
    <n v="0"/>
    <n v="0"/>
    <n v="244174.65657579163"/>
    <n v="12400"/>
    <n v="244700"/>
    <n v="-500"/>
    <n v="256600"/>
    <n v="1.0162376237623763"/>
    <n v="-1.9862490450725745E-2"/>
    <n v="0.97570000000000001"/>
    <n v="0.98809999999999998"/>
    <n v="0.9677"/>
    <n v="1.0062"/>
    <n v="1.0153000000000001"/>
    <n v="0.92691499999999993"/>
    <n v="0.90544119505102505"/>
    <n v="259400"/>
    <n v="11500"/>
    <n v="270900"/>
    <n v="-500"/>
    <n v="270400"/>
    <n v="0.21752808988764044"/>
    <n v="-1.0127226463104326"/>
    <n v="3.2849503437738729E-2"/>
    <n v="0.98006538613861394"/>
  </r>
  <r>
    <n v="2025"/>
    <n v="18131644577"/>
    <n v="-3.5065578973199818"/>
    <n v="0.03"/>
    <n v="1153"/>
    <n v="5"/>
    <s v="CON"/>
    <n v="3042"/>
    <x v="0"/>
    <s v="R1"/>
    <n v="11"/>
    <n v="262"/>
    <s v="CE"/>
    <s v="G"/>
    <s v="AV"/>
    <n v="1980"/>
    <n v="1980"/>
    <x v="4"/>
    <n v="44"/>
    <n v="44"/>
    <n v="1"/>
    <n v="1160"/>
    <n v="0"/>
    <n v="0"/>
    <n v="0"/>
    <n v="0"/>
    <n v="0"/>
    <n v="1160"/>
    <n v="1500"/>
    <n v="0"/>
    <m/>
    <s v="ER"/>
    <s v="E"/>
    <s v="N"/>
    <n v="0"/>
    <n v="1"/>
    <n v="0"/>
    <n v="0"/>
    <n v="0"/>
    <n v="8"/>
    <n v="0"/>
    <n v="0"/>
    <n v="0"/>
    <n v="0"/>
    <n v="0"/>
    <n v="0"/>
    <n v="0"/>
    <n v="100"/>
    <n v="100"/>
    <n v="202439"/>
    <n v="159927"/>
    <n v="600"/>
    <n v="365"/>
    <n v="235"/>
    <n v="0"/>
    <d v="2022-05-11T00:00:00"/>
    <s v="E036415"/>
    <n v="269000"/>
    <n v="256605"/>
    <s v="SWD"/>
    <n v="30"/>
    <s v="N"/>
    <s v="Y"/>
    <n v="250000"/>
    <n v="37500"/>
    <n v="212500"/>
    <n v="12395"/>
    <n v="0.92936802973977695"/>
    <n v="231737.991070702"/>
    <n v="267108.13919429248"/>
    <n v="6.8432556777169931E-2"/>
    <n v="-35370.161690000008"/>
    <n v="87214.824999999997"/>
    <n v="87214.824999999997"/>
    <n v="-87761.591044208326"/>
    <n v="-14329.694740000001"/>
    <n v="0"/>
    <n v="8118.5469199999998"/>
    <n v="80136.812440000009"/>
    <n v="0"/>
    <n v="0"/>
    <n v="0"/>
    <n v="81240.800000000003"/>
    <n v="25273.623"/>
    <n v="0"/>
    <n v="0"/>
    <n v="231737.98488579167"/>
    <n v="12400"/>
    <n v="232300"/>
    <n v="-500"/>
    <n v="244200"/>
    <n v="0.90780669144981407"/>
    <n v="-2.3199999999999998E-2"/>
    <n v="0.97570000000000001"/>
    <n v="0.98809999999999998"/>
    <n v="0.9677"/>
    <n v="1.0062"/>
    <n v="1.0153000000000001"/>
    <n v="0.92691499999999993"/>
    <n v="0.90544119505102505"/>
    <n v="259400"/>
    <n v="11500"/>
    <n v="270900"/>
    <n v="-500"/>
    <n v="270400"/>
    <n v="0.27482352941176469"/>
    <n v="-1.0133333333333334"/>
    <n v="8.1600000000000006E-2"/>
    <n v="0.87371687104089213"/>
  </r>
  <r>
    <n v="2025"/>
    <n v="18131644580"/>
    <n v="-3.5065578973199818"/>
    <n v="0.03"/>
    <n v="1258"/>
    <n v="5"/>
    <s v="CON"/>
    <n v="3042"/>
    <x v="0"/>
    <s v="R1"/>
    <n v="11"/>
    <n v="262"/>
    <s v="CE"/>
    <s v="G"/>
    <s v="AV"/>
    <n v="1980"/>
    <n v="1980"/>
    <x v="4"/>
    <n v="44"/>
    <n v="44"/>
    <n v="1"/>
    <n v="1258"/>
    <n v="0"/>
    <n v="0"/>
    <n v="0"/>
    <n v="0"/>
    <n v="0"/>
    <n v="1258"/>
    <n v="1500"/>
    <n v="0"/>
    <m/>
    <s v="ER"/>
    <s v="E"/>
    <m/>
    <n v="0"/>
    <n v="1"/>
    <n v="0"/>
    <n v="0"/>
    <n v="0"/>
    <n v="8"/>
    <n v="0"/>
    <n v="0"/>
    <n v="0"/>
    <n v="0"/>
    <n v="0"/>
    <n v="0"/>
    <n v="0"/>
    <n v="100"/>
    <n v="100"/>
    <n v="211443"/>
    <n v="167040"/>
    <n v="612"/>
    <n v="365"/>
    <n v="247"/>
    <n v="0"/>
    <d v="2022-04-29T00:00:00"/>
    <s v="E036385"/>
    <n v="265000"/>
    <n v="252605"/>
    <s v="SWD"/>
    <n v="30"/>
    <s v="N"/>
    <s v="Y"/>
    <n v="260000"/>
    <n v="39000"/>
    <n v="221000"/>
    <n v="12395"/>
    <n v="0.98113207547169812"/>
    <n v="239649.90458881186"/>
    <n v="273878.31816244236"/>
    <n v="5.3378146778624458E-2"/>
    <n v="-34228.427137999999"/>
    <n v="87214.824999999997"/>
    <n v="87214.824999999997"/>
    <n v="-87761.591044208326"/>
    <n v="-14329.694740000001"/>
    <n v="0"/>
    <n v="8118.5469199999998"/>
    <n v="86906.991422000006"/>
    <n v="0"/>
    <n v="0"/>
    <n v="0"/>
    <n v="81240.800000000003"/>
    <n v="25273.623"/>
    <n v="0"/>
    <n v="0"/>
    <n v="239649.89841979169"/>
    <n v="12400"/>
    <n v="240200"/>
    <n v="-500"/>
    <n v="252100"/>
    <n v="0.95132075471698119"/>
    <n v="-3.0384615384615385E-2"/>
    <n v="0.97570000000000001"/>
    <n v="0.98809999999999998"/>
    <n v="0.9677"/>
    <n v="1.0062"/>
    <n v="1.0153000000000001"/>
    <n v="0.92691499999999993"/>
    <n v="0.90544119505102505"/>
    <n v="266200"/>
    <n v="11500"/>
    <n v="277700"/>
    <n v="-500"/>
    <n v="277200"/>
    <n v="0.25656108597285066"/>
    <n v="-1.0128205128205128"/>
    <n v="6.615384615384616E-2"/>
    <n v="0.91687385985660375"/>
  </r>
  <r>
    <n v="2025"/>
    <n v="18131533437"/>
    <n v="-1.2729656758128873"/>
    <n v="0.28000000000000003"/>
    <n v="12349"/>
    <n v="5"/>
    <s v="RES"/>
    <n v="3042"/>
    <x v="0"/>
    <s v="R1"/>
    <n v="11"/>
    <n v="259"/>
    <s v="RN"/>
    <s v="A+"/>
    <s v="GD"/>
    <n v="1979"/>
    <n v="1980"/>
    <x v="4"/>
    <n v="45"/>
    <n v="44"/>
    <n v="1"/>
    <n v="1574"/>
    <n v="0"/>
    <n v="0"/>
    <n v="0"/>
    <n v="0"/>
    <n v="0"/>
    <n v="1574"/>
    <n v="2000"/>
    <n v="2"/>
    <s v="B"/>
    <s v="FD"/>
    <s v="G"/>
    <s v="Y"/>
    <n v="0"/>
    <n v="1"/>
    <n v="0"/>
    <n v="0"/>
    <n v="0"/>
    <n v="8"/>
    <n v="506"/>
    <n v="0"/>
    <n v="506"/>
    <n v="0"/>
    <n v="0"/>
    <n v="320"/>
    <n v="0"/>
    <n v="100"/>
    <n v="100"/>
    <n v="282743"/>
    <n v="237504"/>
    <n v="983"/>
    <n v="365"/>
    <n v="365"/>
    <n v="253"/>
    <d v="2021-04-23T00:00:00"/>
    <s v="E030922"/>
    <n v="387100"/>
    <n v="354285"/>
    <s v="SWD"/>
    <n v="30"/>
    <s v="N"/>
    <s v="Y"/>
    <n v="422500"/>
    <n v="88200"/>
    <n v="334300"/>
    <n v="32815"/>
    <n v="1.0914492379230174"/>
    <n v="307654.82343777589"/>
    <n v="408728.45080380089"/>
    <n v="-3.2595382712897296E-2"/>
    <n v="-101073.62871"/>
    <n v="87214.824999999997"/>
    <n v="87214.824999999997"/>
    <n v="-31859.58889753087"/>
    <n v="30313.66692"/>
    <n v="47273.897095"/>
    <n v="8303.0593499999995"/>
    <n v="108737.36446600001"/>
    <n v="0"/>
    <n v="0"/>
    <n v="0"/>
    <n v="81240.800000000003"/>
    <n v="25273.623"/>
    <n v="0"/>
    <n v="25643.319481999999"/>
    <n v="368282.16270546918"/>
    <n v="32800"/>
    <n v="312900"/>
    <n v="55400"/>
    <n v="401100"/>
    <n v="1.0361663652802893"/>
    <n v="-5.06508875739645E-2"/>
    <n v="0.97570000000000001"/>
    <n v="0.85299999999999998"/>
    <n v="0.97829999999999995"/>
    <n v="0.99099999999999999"/>
    <n v="1.0153000000000001"/>
    <n v="0.92691499999999993"/>
    <n v="0.77826775213812927"/>
    <n v="394700"/>
    <n v="30400"/>
    <n v="425100"/>
    <n v="51300"/>
    <n v="476400"/>
    <n v="0.27161232425964704"/>
    <n v="-0.41836734693877553"/>
    <n v="0.12757396449704142"/>
    <n v="0.96958504595711692"/>
  </r>
  <r>
    <n v="2025"/>
    <n v="18131532513"/>
    <n v="-1.3862943611198906"/>
    <n v="0.25"/>
    <n v="10711"/>
    <n v="5"/>
    <s v="RES"/>
    <n v="3041"/>
    <x v="0"/>
    <s v="R1"/>
    <n v="11"/>
    <n v="259"/>
    <s v="CP"/>
    <s v="G"/>
    <s v="GD"/>
    <n v="1979"/>
    <n v="1980"/>
    <x v="4"/>
    <n v="45"/>
    <n v="44"/>
    <n v="1"/>
    <n v="1454"/>
    <n v="0"/>
    <n v="0"/>
    <n v="1340"/>
    <n v="1340"/>
    <n v="0"/>
    <n v="2794"/>
    <n v="3000"/>
    <n v="2"/>
    <m/>
    <s v="FD"/>
    <s v="G"/>
    <s v="Y"/>
    <n v="0"/>
    <n v="0"/>
    <n v="2"/>
    <n v="2"/>
    <n v="0"/>
    <n v="12"/>
    <n v="690"/>
    <n v="0"/>
    <n v="690"/>
    <n v="0"/>
    <n v="666"/>
    <n v="430"/>
    <n v="66"/>
    <n v="100"/>
    <n v="100"/>
    <n v="487238"/>
    <n v="409280"/>
    <n v="235"/>
    <n v="235"/>
    <n v="0"/>
    <n v="0"/>
    <d v="2023-05-11T00:00:00"/>
    <s v="E040255"/>
    <n v="500000"/>
    <n v="500000"/>
    <s v="SWD"/>
    <n v="30"/>
    <s v="N"/>
    <s v="Y"/>
    <n v="449300"/>
    <n v="81800"/>
    <n v="367500"/>
    <n v="0"/>
    <n v="0.89859999999999995"/>
    <n v="523607.23833252315"/>
    <n v="560775.29957226396"/>
    <n v="0.24810883501505443"/>
    <n v="-37168.07"/>
    <n v="87214.824999999997"/>
    <n v="87214.824999999997"/>
    <n v="-34695.961780777012"/>
    <n v="-14329.694740000001"/>
    <n v="47273.897095"/>
    <n v="8303.0593499999995"/>
    <n v="100447.349386"/>
    <n v="0"/>
    <n v="0"/>
    <n v="38335.601719999999"/>
    <n v="121861.20000000001"/>
    <n v="0"/>
    <n v="84182.043999999994"/>
    <n v="34968.162929999999"/>
    <n v="523607.23796022293"/>
    <n v="0"/>
    <n v="471100"/>
    <n v="52500"/>
    <n v="523600"/>
    <n v="1.0471999999999999"/>
    <n v="0.16536835076786111"/>
    <n v="0.97570000000000001"/>
    <n v="0.98809999999999998"/>
    <n v="0.97829999999999995"/>
    <n v="0.93310000000000004"/>
    <n v="1.0153000000000001"/>
    <n v="0.92691499999999993"/>
    <n v="0.84885876760693768"/>
    <n v="495100"/>
    <n v="0"/>
    <n v="495100"/>
    <n v="48700"/>
    <n v="543800"/>
    <n v="0.34721088435374148"/>
    <n v="-0.40464547677261614"/>
    <n v="0.210327175606499"/>
    <n v="1.0132638599999999"/>
  </r>
  <r>
    <n v="2025"/>
    <n v="18131523425"/>
    <n v="-1.4696759700589417"/>
    <n v="0.23"/>
    <n v="9962"/>
    <n v="5"/>
    <s v="RES"/>
    <n v="3041"/>
    <x v="0"/>
    <s v="R1"/>
    <n v="11"/>
    <n v="259"/>
    <s v="SE"/>
    <s v="G+"/>
    <s v="GD"/>
    <n v="1979"/>
    <n v="1990"/>
    <x v="4"/>
    <n v="45"/>
    <n v="34"/>
    <n v="1"/>
    <n v="1709"/>
    <n v="0"/>
    <n v="0"/>
    <n v="941"/>
    <n v="941"/>
    <n v="0"/>
    <n v="2650"/>
    <n v="3000"/>
    <n v="3"/>
    <m/>
    <s v="FD"/>
    <s v="E"/>
    <s v="Y"/>
    <n v="0"/>
    <n v="2"/>
    <n v="0"/>
    <n v="0"/>
    <n v="0"/>
    <n v="13"/>
    <n v="0"/>
    <n v="960"/>
    <n v="960"/>
    <n v="0"/>
    <n v="0"/>
    <n v="272"/>
    <n v="0"/>
    <n v="100"/>
    <n v="100"/>
    <n v="523534"/>
    <n v="471181"/>
    <n v="860"/>
    <n v="365"/>
    <n v="365"/>
    <n v="130"/>
    <d v="2021-08-24T00:00:00"/>
    <s v="E032821"/>
    <n v="585000"/>
    <n v="585000"/>
    <s v="SWD"/>
    <n v="30"/>
    <s v="N"/>
    <s v="Y"/>
    <n v="538300"/>
    <n v="77000"/>
    <n v="461300"/>
    <n v="0"/>
    <n v="0.92017094017094014"/>
    <n v="525494.96246014885"/>
    <n v="588612.50589478586"/>
    <n v="9.346555061264325E-2"/>
    <n v="-63117.550710000003"/>
    <n v="87214.824999999997"/>
    <n v="87214.824999999997"/>
    <n v="-36782.823848535809"/>
    <n v="19189.450408000001"/>
    <n v="47273.897095"/>
    <n v="8303.0593499999995"/>
    <n v="118063.631431"/>
    <n v="0"/>
    <n v="0"/>
    <n v="26920.747177999998"/>
    <n v="132016.30000000002"/>
    <n v="50547.245999999999"/>
    <n v="0"/>
    <n v="48651.357120000001"/>
    <n v="525494.96402346413"/>
    <n v="0"/>
    <n v="475100"/>
    <n v="50400"/>
    <n v="525500"/>
    <n v="0.89829059829059832"/>
    <n v="-2.3778562140070594E-2"/>
    <n v="0.97570000000000001"/>
    <n v="0.9819"/>
    <n v="0.97829999999999995"/>
    <n v="0.93310000000000004"/>
    <n v="1.0153000000000001"/>
    <n v="0.92691499999999993"/>
    <n v="0.84353246018950745"/>
    <n v="524500"/>
    <n v="0"/>
    <n v="524500"/>
    <n v="46700"/>
    <n v="571200"/>
    <n v="0.13700411879471061"/>
    <n v="-0.39350649350649353"/>
    <n v="6.1118335500650198E-2"/>
    <n v="0.86851700733333337"/>
  </r>
  <r>
    <n v="2025"/>
    <n v="18131742411"/>
    <n v="0.69813472207098426"/>
    <n v="2.0099999999999998"/>
    <n v="87372"/>
    <n v="1"/>
    <s v="RES"/>
    <s v="HE"/>
    <x v="0"/>
    <s v="SR"/>
    <n v="11"/>
    <n v="331"/>
    <s v="CU"/>
    <s v="V+"/>
    <s v="GD"/>
    <n v="1978"/>
    <n v="1980"/>
    <x v="4"/>
    <n v="46"/>
    <n v="44"/>
    <n v="1"/>
    <n v="3620"/>
    <n v="0"/>
    <n v="0"/>
    <n v="0"/>
    <n v="0"/>
    <n v="0"/>
    <n v="3620"/>
    <n v="4000"/>
    <n v="3"/>
    <s v="S"/>
    <s v="HP"/>
    <s v="E"/>
    <m/>
    <n v="0"/>
    <n v="2"/>
    <n v="0"/>
    <n v="1"/>
    <n v="1"/>
    <n v="16"/>
    <n v="1680"/>
    <n v="0"/>
    <n v="1680"/>
    <n v="0"/>
    <n v="593"/>
    <n v="242"/>
    <n v="116"/>
    <n v="100"/>
    <n v="100"/>
    <n v="1040168"/>
    <n v="894544"/>
    <n v="790"/>
    <n v="365"/>
    <n v="365"/>
    <n v="60"/>
    <d v="2021-11-02T00:00:00"/>
    <s v="E033917"/>
    <n v="1655000"/>
    <n v="1596361"/>
    <s v="SPWD"/>
    <n v="30"/>
    <s v="N"/>
    <s v="Y"/>
    <n v="1274200"/>
    <n v="200200"/>
    <n v="1074000"/>
    <n v="58639"/>
    <n v="0.76990936555891243"/>
    <n v="896122.34184494521"/>
    <n v="937638.86190399574"/>
    <n v="-0.26413525199811982"/>
    <n v="-41516.530710000006"/>
    <n v="87214.824999999997"/>
    <n v="87214.824999999997"/>
    <n v="17472.808311245397"/>
    <n v="141724.10243"/>
    <n v="47273.897095"/>
    <n v="8487.5717800000002"/>
    <n v="250082.12158000001"/>
    <n v="0"/>
    <n v="0"/>
    <n v="0"/>
    <n v="162481.60000000001"/>
    <n v="50547.245999999999"/>
    <n v="0"/>
    <n v="85139.874960000001"/>
    <n v="896122.34144624555"/>
    <n v="58600"/>
    <n v="791400"/>
    <n v="104700"/>
    <n v="954700"/>
    <n v="0.57685800604229609"/>
    <n v="-0.25074556584523622"/>
    <n v="0.97570000000000001"/>
    <n v="1.0051000000000001"/>
    <n v="0.97829999999999995"/>
    <n v="1.034"/>
    <n v="1.0153000000000001"/>
    <n v="0.92691499999999993"/>
    <n v="0.95683303645464646"/>
    <n v="829200"/>
    <n v="54400"/>
    <n v="883600"/>
    <n v="97000"/>
    <n v="980600"/>
    <n v="-0.17728119180633148"/>
    <n v="-0.51548451548451546"/>
    <n v="-0.23041908648563805"/>
    <n v="0.56742203582477346"/>
  </r>
  <r>
    <n v="2025"/>
    <n v="18131634435"/>
    <n v="-1.6094379124341003"/>
    <n v="0.2"/>
    <n v="8850"/>
    <n v="5"/>
    <s v="RES"/>
    <n v="3041"/>
    <x v="0"/>
    <s v="R1"/>
    <n v="11"/>
    <n v="259"/>
    <s v="RN"/>
    <s v="G"/>
    <s v="GD"/>
    <n v="1977"/>
    <n v="1979"/>
    <x v="4"/>
    <n v="47"/>
    <n v="45"/>
    <n v="1"/>
    <n v="1898"/>
    <n v="0"/>
    <n v="0"/>
    <n v="0"/>
    <n v="0"/>
    <n v="0"/>
    <n v="1898"/>
    <n v="2000"/>
    <n v="2"/>
    <s v="B"/>
    <s v="FD"/>
    <s v="G"/>
    <s v="Y"/>
    <n v="0"/>
    <n v="1"/>
    <n v="0"/>
    <n v="0"/>
    <n v="0"/>
    <n v="10"/>
    <n v="598"/>
    <n v="0"/>
    <n v="598"/>
    <n v="0"/>
    <n v="186"/>
    <n v="165"/>
    <n v="165"/>
    <n v="100"/>
    <n v="100"/>
    <n v="407452"/>
    <n v="342260"/>
    <n v="489"/>
    <n v="365"/>
    <n v="124"/>
    <n v="0"/>
    <d v="2022-08-30T00:00:00"/>
    <s v="E037892"/>
    <n v="406500"/>
    <n v="406500"/>
    <s v="SWD"/>
    <n v="30"/>
    <s v="N"/>
    <s v="Y"/>
    <n v="423800"/>
    <n v="69100"/>
    <n v="354700"/>
    <n v="0"/>
    <n v="1.0425584255842559"/>
    <n v="418084.74113452755"/>
    <n v="464015.93384524778"/>
    <n v="9.4893661739612514E-2"/>
    <n v="-45931.206296000004"/>
    <n v="87214.824999999997"/>
    <n v="87214.824999999997"/>
    <n v="-40280.764218962147"/>
    <n v="-14329.694740000001"/>
    <n v="47273.897095"/>
    <n v="8672.0842099999991"/>
    <n v="131120.40518200002"/>
    <n v="0"/>
    <n v="0"/>
    <n v="0"/>
    <n v="101551"/>
    <n v="25273.623"/>
    <n v="0"/>
    <n v="30305.741205999999"/>
    <n v="418084.73543803784"/>
    <n v="0"/>
    <n v="371200"/>
    <n v="46900"/>
    <n v="418100"/>
    <n v="1.0285362853628537"/>
    <n v="-1.3449740443605473E-2"/>
    <n v="0.97570000000000001"/>
    <n v="0.98809999999999998"/>
    <n v="0.97829999999999995"/>
    <n v="0.99099999999999999"/>
    <n v="1.0153000000000001"/>
    <n v="0.92691499999999993"/>
    <n v="0.90153149576516478"/>
    <n v="408500"/>
    <n v="0"/>
    <n v="408500"/>
    <n v="43500"/>
    <n v="452000"/>
    <n v="0.1516774739216239"/>
    <n v="-0.37047756874095511"/>
    <n v="6.6540821142048137E-2"/>
    <n v="0.99893922190405904"/>
  </r>
  <r>
    <n v="2025"/>
    <n v="18131624421"/>
    <n v="-0.15082288973458366"/>
    <n v="0.86"/>
    <n v="0"/>
    <n v="5"/>
    <s v="RES"/>
    <n v="3042"/>
    <x v="0"/>
    <s v="SR"/>
    <n v="11"/>
    <n v="259"/>
    <s v="RN"/>
    <s v="A+"/>
    <s v="AV"/>
    <n v="1976"/>
    <n v="1979"/>
    <x v="4"/>
    <n v="48"/>
    <n v="45"/>
    <n v="1"/>
    <n v="1424"/>
    <n v="0"/>
    <n v="0"/>
    <n v="0"/>
    <n v="0"/>
    <n v="0"/>
    <n v="1424"/>
    <n v="1500"/>
    <n v="2"/>
    <m/>
    <s v="FD"/>
    <s v="G"/>
    <s v="Y"/>
    <n v="1"/>
    <n v="0"/>
    <n v="1"/>
    <n v="1"/>
    <n v="0"/>
    <n v="9"/>
    <n v="440"/>
    <n v="0"/>
    <n v="440"/>
    <n v="0"/>
    <n v="0"/>
    <n v="112"/>
    <n v="40"/>
    <n v="100"/>
    <n v="100"/>
    <n v="261866"/>
    <n v="204255"/>
    <n v="980"/>
    <n v="365"/>
    <n v="365"/>
    <n v="250"/>
    <d v="2021-04-26T00:00:00"/>
    <s v="E030999"/>
    <n v="292500"/>
    <n v="283634"/>
    <s v="SWD"/>
    <n v="30"/>
    <s v="N"/>
    <s v="Y"/>
    <n v="410200"/>
    <n v="152000"/>
    <n v="258200"/>
    <n v="8866"/>
    <n v="1.4023931623931625"/>
    <n v="303210.23777318618"/>
    <n v="403358.10699454317"/>
    <n v="-1.6679407619348694E-2"/>
    <n v="-100147.87071"/>
    <n v="87214.824999999997"/>
    <n v="87214.824999999997"/>
    <n v="-3774.7720575521407"/>
    <n v="30313.66692"/>
    <n v="0"/>
    <n v="8856.5966399999998"/>
    <n v="98374.845616000006"/>
    <n v="0"/>
    <n v="0"/>
    <n v="0"/>
    <n v="91395.900000000009"/>
    <n v="0"/>
    <n v="42091.021999999997"/>
    <n v="22298.538680000001"/>
    <n v="363837.57708844787"/>
    <n v="8900"/>
    <n v="280400"/>
    <n v="83400"/>
    <n v="372700"/>
    <n v="1.2741880341880343"/>
    <n v="-9.1418820087762073E-2"/>
    <n v="0.97570000000000001"/>
    <n v="0.85299999999999998"/>
    <n v="0.9677"/>
    <n v="1.0062"/>
    <n v="1.0153000000000001"/>
    <n v="0.92691499999999993"/>
    <n v="0.78164288976674878"/>
    <n v="361500"/>
    <n v="8200"/>
    <n v="369700"/>
    <n v="77300"/>
    <n v="447000"/>
    <n v="0.43183578621223856"/>
    <n v="-0.49144736842105263"/>
    <n v="8.9712335446123836E-2"/>
    <n v="1.1858192454358976"/>
  </r>
  <r>
    <n v="2025"/>
    <n v="18131532514"/>
    <n v="-0.916290731874155"/>
    <n v="0.4"/>
    <n v="17359"/>
    <n v="5"/>
    <s v="RES"/>
    <n v="3041"/>
    <x v="0"/>
    <s v="R1"/>
    <n v="11"/>
    <n v="259"/>
    <s v="RN"/>
    <s v="G"/>
    <s v="AV"/>
    <n v="1976"/>
    <n v="1979"/>
    <x v="4"/>
    <n v="48"/>
    <n v="45"/>
    <n v="1"/>
    <n v="1636"/>
    <n v="0"/>
    <n v="0"/>
    <n v="1248"/>
    <n v="1248"/>
    <n v="0"/>
    <n v="2884"/>
    <n v="3000"/>
    <n v="2"/>
    <m/>
    <s v="FD"/>
    <s v="E"/>
    <s v="Y"/>
    <n v="0"/>
    <n v="0"/>
    <n v="1"/>
    <n v="2"/>
    <n v="0"/>
    <n v="13"/>
    <n v="624"/>
    <n v="0"/>
    <n v="624"/>
    <n v="0"/>
    <n v="416"/>
    <n v="416"/>
    <n v="224"/>
    <n v="100"/>
    <n v="100"/>
    <n v="496031"/>
    <n v="386904"/>
    <n v="259"/>
    <n v="259"/>
    <n v="0"/>
    <n v="0"/>
    <d v="2023-04-17T00:00:00"/>
    <s v="E039940"/>
    <n v="497000"/>
    <n v="497000"/>
    <s v="SWD"/>
    <n v="30"/>
    <s v="N"/>
    <s v="Y"/>
    <n v="436900"/>
    <n v="108500"/>
    <n v="328400"/>
    <n v="0"/>
    <n v="0.8790744466800805"/>
    <n v="459514.65974315914"/>
    <n v="500478.6080882352"/>
    <n v="0.14552210594697917"/>
    <n v="-40963.957999999999"/>
    <n v="87214.824999999997"/>
    <n v="87214.824999999997"/>
    <n v="-22932.783328573645"/>
    <n v="-14329.694740000001"/>
    <n v="0"/>
    <n v="8856.5966399999998"/>
    <n v="113020.53892400001"/>
    <n v="0"/>
    <n v="0"/>
    <n v="35703.605184"/>
    <n v="132016.30000000002"/>
    <n v="0"/>
    <n v="42091.021999999997"/>
    <n v="31623.382128000001"/>
    <n v="459514.65880742634"/>
    <n v="0"/>
    <n v="395200"/>
    <n v="64300"/>
    <n v="459500"/>
    <n v="0.92454728370221329"/>
    <n v="5.1728084229800866E-2"/>
    <n v="0.97570000000000001"/>
    <n v="0.98809999999999998"/>
    <n v="0.9677"/>
    <n v="0.93310000000000004"/>
    <n v="1.0153000000000001"/>
    <n v="0.92691499999999993"/>
    <n v="0.83966127917124989"/>
    <n v="422200"/>
    <n v="0"/>
    <n v="422200"/>
    <n v="59600"/>
    <n v="481800"/>
    <n v="0.2856272838002436"/>
    <n v="-0.45069124423963136"/>
    <n v="0.1027695124742504"/>
    <n v="0.88699404828973849"/>
  </r>
  <r>
    <n v="2025"/>
    <n v="18131524448"/>
    <n v="-1.3862943611198906"/>
    <n v="0.25"/>
    <n v="10989"/>
    <n v="5"/>
    <s v="RES"/>
    <s v="YN1"/>
    <x v="0"/>
    <s v="R1"/>
    <n v="11"/>
    <n v="259"/>
    <s v="RN"/>
    <s v="G"/>
    <s v="AV"/>
    <n v="1976"/>
    <n v="1979"/>
    <x v="4"/>
    <n v="48"/>
    <n v="45"/>
    <n v="1"/>
    <n v="1567"/>
    <n v="0"/>
    <n v="0"/>
    <n v="2148"/>
    <n v="1504"/>
    <n v="644"/>
    <n v="3071"/>
    <n v="3500"/>
    <n v="2"/>
    <s v="B"/>
    <s v="FD"/>
    <s v="G"/>
    <s v="Y"/>
    <n v="1"/>
    <n v="0"/>
    <n v="1"/>
    <n v="0"/>
    <n v="1"/>
    <n v="16"/>
    <n v="599"/>
    <n v="0"/>
    <n v="599"/>
    <n v="0"/>
    <n v="443"/>
    <n v="260"/>
    <n v="443"/>
    <n v="100"/>
    <n v="100"/>
    <n v="526635"/>
    <n v="410775"/>
    <n v="40"/>
    <n v="40"/>
    <n v="0"/>
    <n v="0"/>
    <d v="2023-11-22T00:00:00"/>
    <s v="E042159"/>
    <n v="605000"/>
    <n v="605000"/>
    <s v="SWD"/>
    <n v="30"/>
    <s v="N"/>
    <s v="Y"/>
    <n v="397200"/>
    <n v="81800"/>
    <n v="315400"/>
    <n v="0"/>
    <n v="0.65652892561983467"/>
    <n v="532568.32099778648"/>
    <n v="538894.79950667848"/>
    <n v="0.35673413773081186"/>
    <n v="-6326.4800000000005"/>
    <n v="87214.824999999997"/>
    <n v="87214.824999999997"/>
    <n v="-34695.961780777012"/>
    <n v="-14329.694740000001"/>
    <n v="0"/>
    <n v="8856.5966399999998"/>
    <n v="108253.780253"/>
    <n v="0"/>
    <n v="0"/>
    <n v="61451.397383999996"/>
    <n v="162481.60000000001"/>
    <n v="0"/>
    <n v="42091.021999999997"/>
    <n v="30356.419703"/>
    <n v="532568.32945922296"/>
    <n v="0"/>
    <n v="480000"/>
    <n v="52500"/>
    <n v="532500"/>
    <n v="0.8801652892561983"/>
    <n v="0.34063444108761332"/>
    <n v="0.97570000000000001"/>
    <n v="0.98809999999999998"/>
    <n v="0.9677"/>
    <n v="0.99619999999999997"/>
    <n v="1.0153000000000001"/>
    <n v="0.92691499999999993"/>
    <n v="0.89644257454763587"/>
    <n v="477300"/>
    <n v="0"/>
    <n v="477300"/>
    <n v="48700"/>
    <n v="526000"/>
    <n v="0.51331642358909324"/>
    <n v="-0.40464547677261614"/>
    <n v="0.32426988922457201"/>
    <n v="0.85896449586776857"/>
  </r>
  <r>
    <n v="2025"/>
    <n v="18131532409"/>
    <n v="-1.7147984280919266"/>
    <n v="0.18"/>
    <n v="8043"/>
    <n v="5"/>
    <s v="RES"/>
    <n v="3041"/>
    <x v="0"/>
    <s v="R1"/>
    <n v="11"/>
    <n v="259"/>
    <s v="RN"/>
    <s v="G"/>
    <s v="AV"/>
    <n v="1976"/>
    <n v="1979"/>
    <x v="4"/>
    <n v="48"/>
    <n v="45"/>
    <n v="1"/>
    <n v="1800"/>
    <n v="0"/>
    <n v="0"/>
    <n v="2568"/>
    <n v="1800"/>
    <n v="768"/>
    <n v="3600"/>
    <n v="4000"/>
    <n v="3"/>
    <m/>
    <s v="FD"/>
    <s v="G"/>
    <s v="Y"/>
    <n v="0"/>
    <n v="3"/>
    <n v="0"/>
    <n v="2"/>
    <n v="0"/>
    <n v="14"/>
    <n v="768"/>
    <n v="0"/>
    <n v="768"/>
    <n v="0"/>
    <n v="608"/>
    <n v="0"/>
    <n v="0"/>
    <n v="100"/>
    <n v="100"/>
    <n v="591057"/>
    <n v="461024"/>
    <n v="796"/>
    <n v="365"/>
    <n v="365"/>
    <n v="66"/>
    <d v="2021-10-27T00:00:00"/>
    <s v="E033803"/>
    <n v="483000"/>
    <n v="483000"/>
    <s v="SWD"/>
    <n v="30"/>
    <s v="N"/>
    <s v="Y"/>
    <n v="476500"/>
    <n v="63100"/>
    <n v="413400"/>
    <n v="0"/>
    <n v="0.98654244306418215"/>
    <n v="537401.4105363586"/>
    <n v="580769.44688474527"/>
    <n v="0.21882360311593971"/>
    <n v="-43368.046710000002"/>
    <n v="87214.824999999997"/>
    <n v="87214.824999999997"/>
    <n v="-42917.710979326817"/>
    <n v="-14329.694740000001"/>
    <n v="0"/>
    <n v="8856.5966399999998"/>
    <n v="124350.2262"/>
    <n v="0"/>
    <n v="0"/>
    <n v="73467.033744"/>
    <n v="142171.4"/>
    <n v="75820.869000000006"/>
    <n v="0"/>
    <n v="38921.085696000002"/>
    <n v="537401.40885067312"/>
    <n v="0"/>
    <n v="493100"/>
    <n v="44300"/>
    <n v="537400"/>
    <n v="1.1126293995859213"/>
    <n v="0.12780692549842601"/>
    <n v="0.97570000000000001"/>
    <n v="0.98809999999999998"/>
    <n v="0.9677"/>
    <n v="1.034"/>
    <n v="1.0153000000000001"/>
    <n v="0.92691499999999993"/>
    <n v="0.93045736005044721"/>
    <n v="530400"/>
    <n v="0"/>
    <n v="530400"/>
    <n v="41100"/>
    <n v="571500"/>
    <n v="0.28301886792452829"/>
    <n v="-0.34865293185419971"/>
    <n v="0.1993704092339979"/>
    <n v="1.0934408970807452"/>
  </r>
  <r>
    <n v="2025"/>
    <n v="18131623408"/>
    <n v="0.82855181756614826"/>
    <n v="2.29"/>
    <n v="0"/>
    <n v="5"/>
    <s v="RES"/>
    <s v="YN1"/>
    <x v="0"/>
    <s v="SR"/>
    <n v="11"/>
    <n v="259"/>
    <s v="CO"/>
    <s v="G"/>
    <s v="GD"/>
    <n v="1976"/>
    <n v="1979"/>
    <x v="4"/>
    <n v="48"/>
    <n v="45"/>
    <n v="2"/>
    <n v="1106"/>
    <n v="614"/>
    <n v="0"/>
    <n v="1026"/>
    <n v="513"/>
    <n v="513"/>
    <n v="2233"/>
    <n v="2500"/>
    <n v="0"/>
    <m/>
    <s v="FD"/>
    <s v="E"/>
    <s v="Y"/>
    <n v="1"/>
    <n v="1"/>
    <n v="0"/>
    <n v="1"/>
    <n v="0"/>
    <n v="12"/>
    <n v="0"/>
    <n v="0"/>
    <n v="0"/>
    <n v="240"/>
    <n v="398"/>
    <n v="0"/>
    <n v="354"/>
    <n v="100"/>
    <n v="100"/>
    <n v="425947"/>
    <n v="332239"/>
    <n v="109"/>
    <n v="109"/>
    <n v="0"/>
    <n v="0"/>
    <d v="2023-09-14T00:00:00"/>
    <s v="E041498"/>
    <n v="575000"/>
    <n v="559639"/>
    <s v="SWD"/>
    <n v="30"/>
    <s v="N"/>
    <s v="Y"/>
    <n v="540700"/>
    <n v="207600"/>
    <n v="333100"/>
    <n v="15361"/>
    <n v="0.94034782608695655"/>
    <n v="510188.35010501544"/>
    <n v="527428.00404174626"/>
    <n v="-2.454595146708663E-2"/>
    <n v="-17239.657999999999"/>
    <n v="87214.824999999997"/>
    <n v="87214.824999999997"/>
    <n v="20736.867293065654"/>
    <n v="-14329.694740000001"/>
    <n v="47273.897095"/>
    <n v="8856.5966399999998"/>
    <n v="76406.305654000011"/>
    <n v="37567.083450000006"/>
    <n v="0"/>
    <n v="29352.483107999997"/>
    <n v="121861.20000000001"/>
    <n v="25273.623"/>
    <n v="0"/>
    <n v="0"/>
    <n v="510188.35350006568"/>
    <n v="15400"/>
    <n v="402200"/>
    <n v="108000"/>
    <n v="525600"/>
    <n v="0.9140869565217391"/>
    <n v="-2.7926761605326429E-2"/>
    <n v="0.97570000000000001"/>
    <n v="0.98809999999999998"/>
    <n v="0.97829999999999995"/>
    <n v="0.93440000000000001"/>
    <n v="1.0153000000000001"/>
    <n v="0.92691499999999993"/>
    <n v="0.85004140226334002"/>
    <n v="406400"/>
    <n v="14200"/>
    <n v="420600"/>
    <n v="100100"/>
    <n v="520700"/>
    <n v="0.26268387871510057"/>
    <n v="-0.51782273603082851"/>
    <n v="-3.6989088218975404E-2"/>
    <n v="0.87558320347826091"/>
  </r>
  <r>
    <n v="2025"/>
    <n v="18131532436"/>
    <n v="-1.5141277326297755"/>
    <n v="0.22"/>
    <n v="9391"/>
    <n v="5"/>
    <s v="RES"/>
    <n v="3041"/>
    <x v="0"/>
    <s v="R1"/>
    <n v="11"/>
    <n v="259"/>
    <s v="SE"/>
    <s v="G"/>
    <s v="AV"/>
    <n v="1975"/>
    <n v="1979"/>
    <x v="4"/>
    <n v="49"/>
    <n v="45"/>
    <n v="1"/>
    <n v="1386"/>
    <n v="0"/>
    <n v="0"/>
    <n v="696"/>
    <n v="696"/>
    <n v="0"/>
    <n v="2082"/>
    <n v="2500"/>
    <n v="2"/>
    <m/>
    <s v="FD"/>
    <s v="G"/>
    <s v="Y"/>
    <n v="0"/>
    <n v="2"/>
    <n v="0"/>
    <n v="1"/>
    <n v="1"/>
    <n v="10"/>
    <n v="0"/>
    <n v="714"/>
    <n v="714"/>
    <n v="0"/>
    <n v="200"/>
    <n v="0"/>
    <n v="0"/>
    <n v="100"/>
    <n v="100"/>
    <n v="386182"/>
    <n v="301222"/>
    <n v="852"/>
    <n v="365"/>
    <n v="365"/>
    <n v="122"/>
    <d v="2021-09-01T00:00:00"/>
    <s v="E032941"/>
    <n v="395000"/>
    <n v="395000"/>
    <s v="SWD"/>
    <n v="30"/>
    <s v="N"/>
    <s v="Y"/>
    <n v="411200"/>
    <n v="74500"/>
    <n v="336700"/>
    <n v="0"/>
    <n v="1.0410126582278481"/>
    <n v="374540.83912196034"/>
    <n v="435189.69417081622"/>
    <n v="5.8340695940700925E-2"/>
    <n v="-60648.862710000001"/>
    <n v="87214.824999999997"/>
    <n v="87214.824999999997"/>
    <n v="-37895.355716587197"/>
    <n v="-14329.694740000001"/>
    <n v="0"/>
    <n v="9041.1090700000004"/>
    <n v="95749.674174"/>
    <n v="0"/>
    <n v="0"/>
    <n v="19911.625968"/>
    <n v="101551"/>
    <n v="50547.245999999999"/>
    <n v="0"/>
    <n v="36184.446858000003"/>
    <n v="374540.83890341275"/>
    <n v="0"/>
    <n v="325200"/>
    <n v="49300"/>
    <n v="374500"/>
    <n v="0.94810126582278476"/>
    <n v="-8.9250972762645917E-2"/>
    <n v="0.97570000000000001"/>
    <n v="0.98809999999999998"/>
    <n v="0.9677"/>
    <n v="0.93440000000000001"/>
    <n v="1.0153000000000001"/>
    <n v="0.92691499999999993"/>
    <n v="0.84083109983669047"/>
    <n v="372000"/>
    <n v="0"/>
    <n v="372000"/>
    <n v="45700"/>
    <n v="417700"/>
    <n v="0.10484110484110484"/>
    <n v="-0.38657718120805368"/>
    <n v="1.5807392996108949E-2"/>
    <n v="0.90392692984810119"/>
  </r>
  <r>
    <n v="2025"/>
    <n v="18131532447"/>
    <n v="-1.5606477482646683"/>
    <n v="0.21"/>
    <n v="9068"/>
    <n v="5"/>
    <s v="RES"/>
    <n v="3041"/>
    <x v="0"/>
    <s v="R1"/>
    <n v="11"/>
    <n v="259"/>
    <s v="SE"/>
    <s v="G"/>
    <s v="AV"/>
    <n v="1975"/>
    <n v="1979"/>
    <x v="4"/>
    <n v="49"/>
    <n v="45"/>
    <n v="1"/>
    <n v="1132"/>
    <n v="0"/>
    <n v="0"/>
    <n v="1056"/>
    <n v="1056"/>
    <n v="0"/>
    <n v="2188"/>
    <n v="2500"/>
    <n v="2"/>
    <s v="B"/>
    <s v="HP"/>
    <s v="E"/>
    <m/>
    <n v="0"/>
    <n v="2"/>
    <n v="0"/>
    <n v="1"/>
    <n v="0"/>
    <n v="9"/>
    <n v="576"/>
    <n v="0"/>
    <n v="576"/>
    <n v="0"/>
    <n v="160"/>
    <n v="0"/>
    <n v="0"/>
    <n v="100"/>
    <n v="100"/>
    <n v="390396"/>
    <n v="304509"/>
    <n v="805"/>
    <n v="365"/>
    <n v="365"/>
    <n v="75"/>
    <d v="2021-10-18T00:00:00"/>
    <s v="E033720"/>
    <n v="372000"/>
    <n v="372000"/>
    <s v="SWD"/>
    <n v="30"/>
    <s v="N"/>
    <s v="Y"/>
    <n v="366600"/>
    <n v="71900"/>
    <n v="294700"/>
    <n v="0"/>
    <n v="0.98548387096774193"/>
    <n v="363483.27395469532"/>
    <n v="409628.58473708591"/>
    <n v="0.1173720260149643"/>
    <n v="-46145.32071"/>
    <n v="87214.824999999997"/>
    <n v="87214.824999999997"/>
    <n v="-39059.651503814886"/>
    <n v="-14329.694740000001"/>
    <n v="0"/>
    <n v="9041.1090700000004"/>
    <n v="78202.475588000001"/>
    <n v="0"/>
    <n v="0"/>
    <n v="30210.742847999998"/>
    <n v="91395.900000000009"/>
    <n v="50547.245999999999"/>
    <n v="0"/>
    <n v="29190.814272"/>
    <n v="363483.27082418511"/>
    <n v="0"/>
    <n v="315300"/>
    <n v="48200"/>
    <n v="363500"/>
    <n v="0.97715053763440862"/>
    <n v="-8.4560829241680305E-3"/>
    <n v="0.97570000000000001"/>
    <n v="0.98809999999999998"/>
    <n v="0.9677"/>
    <n v="0.93440000000000001"/>
    <n v="1.0153000000000001"/>
    <n v="0.92691499999999993"/>
    <n v="0.84083109983669047"/>
    <n v="347600"/>
    <n v="0"/>
    <n v="347600"/>
    <n v="44600"/>
    <n v="392200"/>
    <n v="0.17950458092975907"/>
    <n v="-0.37969401947148818"/>
    <n v="6.9830878341516633E-2"/>
    <n v="0.93025451422043015"/>
  </r>
  <r>
    <n v="2025"/>
    <n v="18131532416"/>
    <n v="-1.6094379124341003"/>
    <n v="0.2"/>
    <n v="8913"/>
    <n v="5"/>
    <s v="RES"/>
    <n v="3041"/>
    <x v="0"/>
    <s v="R1"/>
    <n v="11"/>
    <n v="259"/>
    <s v="RN"/>
    <s v="G"/>
    <s v="AV"/>
    <n v="1975"/>
    <n v="1979"/>
    <x v="4"/>
    <n v="49"/>
    <n v="45"/>
    <n v="1"/>
    <n v="2198"/>
    <n v="0"/>
    <n v="0"/>
    <n v="1098"/>
    <n v="930"/>
    <n v="168"/>
    <n v="3128"/>
    <n v="3500"/>
    <n v="2"/>
    <s v="B"/>
    <s v="FD"/>
    <s v="E"/>
    <s v="Y"/>
    <n v="0"/>
    <n v="1"/>
    <n v="0"/>
    <n v="0"/>
    <n v="1"/>
    <n v="10"/>
    <n v="0"/>
    <n v="1100"/>
    <n v="1100"/>
    <n v="0"/>
    <n v="0"/>
    <n v="0"/>
    <n v="100"/>
    <n v="100"/>
    <n v="100"/>
    <n v="539777"/>
    <n v="421026"/>
    <n v="524"/>
    <n v="365"/>
    <n v="159"/>
    <n v="0"/>
    <d v="2022-07-26T00:00:00"/>
    <s v="E037544"/>
    <n v="300000"/>
    <n v="300000"/>
    <s v="SWD"/>
    <n v="30"/>
    <s v="N"/>
    <s v="Y"/>
    <n v="433400"/>
    <n v="69100"/>
    <n v="364300"/>
    <n v="0"/>
    <n v="1.4446666666666668"/>
    <n v="452087.87794524175"/>
    <n v="494689.01155191206"/>
    <n v="0.14141442443911412"/>
    <n v="-42601.147186000002"/>
    <n v="87214.824999999997"/>
    <n v="87214.824999999997"/>
    <n v="-40280.764218962147"/>
    <n v="-14329.694740000001"/>
    <n v="0"/>
    <n v="9041.1090700000004"/>
    <n v="151845.442882"/>
    <n v="0"/>
    <n v="0"/>
    <n v="31412.306483999997"/>
    <n v="101551"/>
    <n v="25273.623"/>
    <n v="0"/>
    <n v="55746.346700000002"/>
    <n v="452087.87199103786"/>
    <n v="0"/>
    <n v="405200"/>
    <n v="46900"/>
    <n v="452100"/>
    <n v="1.5069999999999999"/>
    <n v="4.3147208121827409E-2"/>
    <n v="0.97570000000000001"/>
    <n v="0.98809999999999998"/>
    <n v="0.9677"/>
    <n v="0.99619999999999997"/>
    <n v="1.0153000000000001"/>
    <n v="0.92691499999999993"/>
    <n v="0.89644257454763587"/>
    <n v="438700"/>
    <n v="0"/>
    <n v="438700"/>
    <n v="43500"/>
    <n v="482200"/>
    <n v="0.20422728520450179"/>
    <n v="-0.37047756874095511"/>
    <n v="0.11259806183664052"/>
    <n v="1.4653295093799998"/>
  </r>
  <r>
    <n v="2025"/>
    <n v="18131532508"/>
    <n v="-1.3862943611198906"/>
    <n v="0.25"/>
    <n v="10899"/>
    <n v="5"/>
    <s v="RES"/>
    <n v="3041"/>
    <x v="0"/>
    <s v="R1"/>
    <n v="11"/>
    <n v="259"/>
    <s v="RN"/>
    <s v="G"/>
    <s v="GD"/>
    <n v="1975"/>
    <n v="1979"/>
    <x v="4"/>
    <n v="49"/>
    <n v="45"/>
    <n v="1"/>
    <n v="1376"/>
    <n v="0"/>
    <n v="0"/>
    <n v="672"/>
    <n v="672"/>
    <n v="0"/>
    <n v="2048"/>
    <n v="2500"/>
    <n v="2"/>
    <s v="B"/>
    <s v="FD"/>
    <s v="G"/>
    <s v="Y"/>
    <n v="0"/>
    <n v="2"/>
    <n v="0"/>
    <n v="2"/>
    <n v="0"/>
    <n v="11"/>
    <n v="616"/>
    <n v="0"/>
    <n v="616"/>
    <n v="0"/>
    <n v="525"/>
    <n v="192"/>
    <n v="0"/>
    <n v="100"/>
    <n v="100"/>
    <n v="395963"/>
    <n v="332609"/>
    <n v="188"/>
    <n v="188"/>
    <n v="0"/>
    <n v="0"/>
    <d v="2023-06-27T00:00:00"/>
    <s v="E040787"/>
    <n v="479000"/>
    <n v="479000"/>
    <s v="SWD"/>
    <n v="30"/>
    <s v="N"/>
    <s v="Y"/>
    <n v="460800"/>
    <n v="81800"/>
    <n v="379000"/>
    <n v="0"/>
    <n v="0.96200417536534444"/>
    <n v="459739.70070484647"/>
    <n v="489474.1496966391"/>
    <n v="6.2226887362498047E-2"/>
    <n v="-29734.456000000002"/>
    <n v="87214.824999999997"/>
    <n v="87214.824999999997"/>
    <n v="-34695.961780777012"/>
    <n v="-14329.694740000001"/>
    <n v="47273.897095"/>
    <n v="9041.1090700000004"/>
    <n v="95058.839584000001"/>
    <n v="0"/>
    <n v="0"/>
    <n v="19225.018175999998"/>
    <n v="111706.1"/>
    <n v="50547.245999999999"/>
    <n v="0"/>
    <n v="31217.954151999998"/>
    <n v="459739.70155622304"/>
    <n v="0"/>
    <n v="407200"/>
    <n v="52500"/>
    <n v="459700"/>
    <n v="0.95970772442588725"/>
    <n v="-2.387152777777778E-3"/>
    <n v="0.97570000000000001"/>
    <n v="0.98809999999999998"/>
    <n v="0.97829999999999995"/>
    <n v="0.93440000000000001"/>
    <n v="1.0153000000000001"/>
    <n v="0.92691499999999993"/>
    <n v="0.85004140226334002"/>
    <n v="423900"/>
    <n v="0"/>
    <n v="423900"/>
    <n v="48700"/>
    <n v="472600"/>
    <n v="0.11846965699208444"/>
    <n v="-0.40464547677261614"/>
    <n v="2.5607638888888888E-2"/>
    <n v="0.92456272233820458"/>
  </r>
  <r>
    <n v="2025"/>
    <n v="18131532508"/>
    <n v="-1.3862943611198906"/>
    <n v="0.25"/>
    <n v="10899"/>
    <n v="5"/>
    <s v="RES"/>
    <n v="3041"/>
    <x v="0"/>
    <s v="R1"/>
    <n v="11"/>
    <n v="259"/>
    <s v="RN"/>
    <s v="G"/>
    <s v="GD"/>
    <n v="1975"/>
    <n v="1979"/>
    <x v="4"/>
    <n v="49"/>
    <n v="45"/>
    <n v="1"/>
    <n v="1376"/>
    <n v="0"/>
    <n v="0"/>
    <n v="672"/>
    <n v="672"/>
    <n v="0"/>
    <n v="2048"/>
    <n v="2500"/>
    <n v="2"/>
    <s v="B"/>
    <s v="FD"/>
    <s v="G"/>
    <s v="Y"/>
    <n v="0"/>
    <n v="2"/>
    <n v="0"/>
    <n v="2"/>
    <n v="0"/>
    <n v="11"/>
    <n v="616"/>
    <n v="0"/>
    <n v="616"/>
    <n v="0"/>
    <n v="525"/>
    <n v="192"/>
    <n v="0"/>
    <n v="100"/>
    <n v="100"/>
    <n v="395963"/>
    <n v="332609"/>
    <n v="469"/>
    <n v="365"/>
    <n v="104"/>
    <n v="0"/>
    <d v="2022-09-19T00:00:00"/>
    <s v="E038145"/>
    <n v="410000"/>
    <n v="410000"/>
    <s v="SWD"/>
    <n v="30"/>
    <s v="N"/>
    <s v="Y"/>
    <n v="460800"/>
    <n v="81800"/>
    <n v="379000"/>
    <n v="0"/>
    <n v="1.1239024390243904"/>
    <n v="441640.06606931891"/>
    <n v="489474.1496966391"/>
    <n v="6.2226887362498047E-2"/>
    <n v="-47834.097216000002"/>
    <n v="87214.824999999997"/>
    <n v="87214.824999999997"/>
    <n v="-34695.961780777012"/>
    <n v="-14329.694740000001"/>
    <n v="47273.897095"/>
    <n v="9041.1090700000004"/>
    <n v="95058.839584000001"/>
    <n v="0"/>
    <n v="0"/>
    <n v="19225.018175999998"/>
    <n v="111706.1"/>
    <n v="50547.245999999999"/>
    <n v="0"/>
    <n v="31217.954151999998"/>
    <n v="441640.06034022296"/>
    <n v="0"/>
    <n v="389100"/>
    <n v="52500"/>
    <n v="441600"/>
    <n v="1.0770731707317074"/>
    <n v="-4.1666666666666664E-2"/>
    <n v="0.97570000000000001"/>
    <n v="0.98809999999999998"/>
    <n v="0.97829999999999995"/>
    <n v="0.93440000000000001"/>
    <n v="1.0153000000000001"/>
    <n v="0.92691499999999993"/>
    <n v="0.85004140226334002"/>
    <n v="423900"/>
    <n v="0"/>
    <n v="423900"/>
    <n v="48700"/>
    <n v="472600"/>
    <n v="0.11846965699208444"/>
    <n v="-0.40464547677261614"/>
    <n v="2.5607638888888888E-2"/>
    <n v="1.0360143970341462"/>
  </r>
  <r>
    <n v="2025"/>
    <n v="18131643433"/>
    <n v="-0.61618613942381695"/>
    <n v="0.54"/>
    <n v="23372"/>
    <n v="5"/>
    <s v="RES"/>
    <n v="3041"/>
    <x v="0"/>
    <s v="R1"/>
    <n v="11"/>
    <n v="259"/>
    <s v="RN"/>
    <s v="G"/>
    <s v="GD"/>
    <n v="1975"/>
    <n v="1979"/>
    <x v="4"/>
    <n v="49"/>
    <n v="45"/>
    <n v="1"/>
    <n v="1860"/>
    <n v="0"/>
    <n v="0"/>
    <n v="1500"/>
    <n v="1500"/>
    <n v="0"/>
    <n v="3360"/>
    <n v="3500"/>
    <n v="0"/>
    <s v="S"/>
    <s v="FD"/>
    <s v="G"/>
    <s v="Y"/>
    <n v="0"/>
    <n v="2"/>
    <n v="0"/>
    <n v="2"/>
    <n v="0"/>
    <n v="12"/>
    <n v="0"/>
    <n v="0"/>
    <n v="0"/>
    <n v="0"/>
    <n v="568"/>
    <n v="120"/>
    <n v="240"/>
    <n v="100"/>
    <n v="100"/>
    <n v="521928"/>
    <n v="438420"/>
    <n v="894"/>
    <n v="365"/>
    <n v="365"/>
    <n v="164"/>
    <d v="2021-07-21T00:00:00"/>
    <s v="E032323"/>
    <n v="535000"/>
    <n v="510294"/>
    <s v="SWD"/>
    <n v="30"/>
    <s v="N"/>
    <s v="Y"/>
    <n v="542000"/>
    <n v="125500"/>
    <n v="416500"/>
    <n v="24706"/>
    <n v="1.0130841121495326"/>
    <n v="471200.33955905738"/>
    <n v="544809.8086332652"/>
    <n v="5.1841487698619966E-3"/>
    <n v="-73609.47471000001"/>
    <n v="87214.824999999997"/>
    <n v="87214.824999999997"/>
    <n v="-15421.81180483382"/>
    <n v="-14329.694740000001"/>
    <n v="47273.897095"/>
    <n v="9041.1090700000004"/>
    <n v="128495.23374000001"/>
    <n v="0"/>
    <n v="0"/>
    <n v="42912.987000000001"/>
    <n v="121861.20000000001"/>
    <n v="50547.245999999999"/>
    <n v="0"/>
    <n v="0"/>
    <n v="471200.3416501662"/>
    <n v="24700"/>
    <n v="399400"/>
    <n v="71800"/>
    <n v="495900"/>
    <n v="0.9269158878504673"/>
    <n v="-8.5055350553505535E-2"/>
    <n v="0.97570000000000001"/>
    <n v="0.98809999999999998"/>
    <n v="0.97829999999999995"/>
    <n v="0.99619999999999997"/>
    <n v="1.0153000000000001"/>
    <n v="0.92691499999999993"/>
    <n v="0.90626203439077413"/>
    <n v="464800"/>
    <n v="22900"/>
    <n v="487700"/>
    <n v="66500"/>
    <n v="554200"/>
    <n v="0.1709483793517407"/>
    <n v="-0.47011952191235062"/>
    <n v="2.2509225092250923E-2"/>
    <n v="0.89830004727102808"/>
  </r>
  <r>
    <n v="2025"/>
    <n v="18131642410"/>
    <n v="-1.4271163556401458"/>
    <n v="0.24"/>
    <n v="10289"/>
    <n v="5"/>
    <s v="RES"/>
    <n v="3041"/>
    <x v="0"/>
    <s v="R1"/>
    <n v="11"/>
    <n v="259"/>
    <s v="SE"/>
    <s v="G"/>
    <s v="AV"/>
    <n v="1974"/>
    <n v="1979"/>
    <x v="4"/>
    <n v="50"/>
    <n v="45"/>
    <n v="1"/>
    <n v="1213"/>
    <n v="0"/>
    <n v="0"/>
    <n v="713"/>
    <n v="713"/>
    <n v="0"/>
    <n v="1926"/>
    <n v="2000"/>
    <n v="2"/>
    <m/>
    <s v="FD"/>
    <s v="G"/>
    <s v="Y"/>
    <n v="0"/>
    <n v="2"/>
    <n v="0"/>
    <n v="1"/>
    <n v="1"/>
    <n v="10"/>
    <n v="0"/>
    <n v="500"/>
    <n v="500"/>
    <n v="0"/>
    <n v="755"/>
    <n v="624"/>
    <n v="172"/>
    <n v="100"/>
    <n v="100"/>
    <n v="380535"/>
    <n v="296817"/>
    <n v="1005"/>
    <n v="365"/>
    <n v="365"/>
    <n v="275"/>
    <d v="2021-04-01T00:00:00"/>
    <s v="E030657"/>
    <n v="358750"/>
    <n v="358750"/>
    <s v="SWD"/>
    <n v="30"/>
    <s v="N"/>
    <s v="Y"/>
    <n v="440000"/>
    <n v="79500"/>
    <n v="360500"/>
    <n v="0"/>
    <n v="1.2264808362369337"/>
    <n v="307379.1040372015"/>
    <n v="415241.62446412508"/>
    <n v="-5.6269035308806635E-2"/>
    <n v="-107862.52071000001"/>
    <n v="87214.824999999997"/>
    <n v="87214.824999999997"/>
    <n v="-35717.648373042801"/>
    <n v="-14329.694740000001"/>
    <n v="0"/>
    <n v="9225.6214999999993"/>
    <n v="83798.235767000006"/>
    <n v="0"/>
    <n v="0"/>
    <n v="20397.973153999999"/>
    <n v="101551"/>
    <n v="50547.245999999999"/>
    <n v="0"/>
    <n v="25339.248500000002"/>
    <n v="307379.11109795718"/>
    <n v="0"/>
    <n v="255900"/>
    <n v="51500"/>
    <n v="307400"/>
    <n v="0.85686411149825781"/>
    <n v="-0.30136363636363639"/>
    <n v="0.97570000000000001"/>
    <n v="0.98809999999999998"/>
    <n v="0.9677"/>
    <n v="0.99099999999999999"/>
    <n v="1.0153000000000001"/>
    <n v="0.92691499999999993"/>
    <n v="0.89176329188587344"/>
    <n v="354300"/>
    <n v="0"/>
    <n v="354300"/>
    <n v="47700"/>
    <n v="402000"/>
    <n v="-1.7198335644937588E-2"/>
    <n v="-0.4"/>
    <n v="-8.6363636363636365E-2"/>
    <n v="0.81989541265505228"/>
  </r>
  <r>
    <n v="2025"/>
    <n v="18131613405"/>
    <n v="-1.2039728043259361"/>
    <n v="0.3"/>
    <n v="13098"/>
    <n v="5"/>
    <s v="RES"/>
    <n v="3041"/>
    <x v="0"/>
    <s v="R1"/>
    <n v="11"/>
    <n v="259"/>
    <s v="RN"/>
    <s v="G"/>
    <s v="AV"/>
    <n v="1974"/>
    <n v="1979"/>
    <x v="4"/>
    <n v="50"/>
    <n v="45"/>
    <n v="1"/>
    <n v="2135"/>
    <n v="0"/>
    <n v="0"/>
    <n v="0"/>
    <n v="0"/>
    <n v="0"/>
    <n v="2135"/>
    <n v="2500"/>
    <n v="2"/>
    <m/>
    <s v="FD"/>
    <s v="G"/>
    <s v="Y"/>
    <n v="0"/>
    <n v="1"/>
    <n v="0"/>
    <n v="3"/>
    <n v="0"/>
    <n v="12"/>
    <n v="576"/>
    <n v="0"/>
    <n v="576"/>
    <n v="0"/>
    <n v="204"/>
    <n v="0"/>
    <n v="0"/>
    <n v="100"/>
    <n v="100"/>
    <n v="427636"/>
    <n v="333556"/>
    <n v="948"/>
    <n v="365"/>
    <n v="365"/>
    <n v="218"/>
    <d v="2021-05-28T00:00:00"/>
    <s v="E031496"/>
    <n v="335000"/>
    <n v="335000"/>
    <s v="SWD"/>
    <n v="30"/>
    <s v="N"/>
    <s v="Y"/>
    <n v="438800"/>
    <n v="92100"/>
    <n v="346700"/>
    <n v="0"/>
    <n v="1.3098507462686566"/>
    <n v="372738.42866250424"/>
    <n v="463011.54434073594"/>
    <n v="5.5176719099215912E-2"/>
    <n v="-90273.11871000001"/>
    <n v="87214.824999999997"/>
    <n v="87214.824999999997"/>
    <n v="-30132.845934857665"/>
    <n v="-14329.694740000001"/>
    <n v="0"/>
    <n v="9225.6214999999993"/>
    <n v="147493.18496500002"/>
    <n v="0"/>
    <n v="0"/>
    <n v="0"/>
    <n v="121861.20000000001"/>
    <n v="25273.623"/>
    <n v="0"/>
    <n v="29190.814272"/>
    <n v="372738.43435214239"/>
    <n v="0"/>
    <n v="315700"/>
    <n v="57100"/>
    <n v="372800"/>
    <n v="1.1128358208955225"/>
    <n v="-0.15041020966271651"/>
    <n v="0.97570000000000001"/>
    <n v="0.98809999999999998"/>
    <n v="0.9677"/>
    <n v="0.93440000000000001"/>
    <n v="1.0153000000000001"/>
    <n v="0.92691499999999993"/>
    <n v="0.84083109983669047"/>
    <n v="392000"/>
    <n v="0"/>
    <n v="392000"/>
    <n v="52900"/>
    <n v="444900"/>
    <n v="0.13066051341217191"/>
    <n v="-0.42562432138979372"/>
    <n v="1.390154968094804E-2"/>
    <n v="1.0585877053432835"/>
  </r>
  <r>
    <n v="2025"/>
    <n v="18131524414"/>
    <n v="-0.9942522733438669"/>
    <n v="0.37"/>
    <n v="16183"/>
    <n v="5"/>
    <s v="RES"/>
    <n v="3041"/>
    <x v="0"/>
    <s v="R1"/>
    <n v="11"/>
    <n v="259"/>
    <s v="SE"/>
    <s v="G"/>
    <s v="AV"/>
    <n v="1974"/>
    <n v="1979"/>
    <x v="4"/>
    <n v="50"/>
    <n v="45"/>
    <n v="1"/>
    <n v="1778"/>
    <n v="0"/>
    <n v="0"/>
    <n v="1260"/>
    <n v="1260"/>
    <n v="0"/>
    <n v="3038"/>
    <n v="3500"/>
    <n v="0"/>
    <s v="B"/>
    <s v="FD"/>
    <s v="G"/>
    <s v="Y"/>
    <n v="1"/>
    <n v="1"/>
    <n v="0"/>
    <n v="2"/>
    <n v="0"/>
    <n v="11"/>
    <n v="0"/>
    <n v="484"/>
    <n v="484"/>
    <n v="0"/>
    <n v="315"/>
    <n v="0"/>
    <n v="0"/>
    <n v="100"/>
    <n v="100"/>
    <n v="496392"/>
    <n v="387186"/>
    <n v="404"/>
    <n v="365"/>
    <n v="39"/>
    <n v="0"/>
    <d v="2022-11-23T00:00:00"/>
    <s v="E038828"/>
    <n v="420000"/>
    <n v="398409"/>
    <s v="SWD"/>
    <n v="30"/>
    <s v="N"/>
    <s v="Y"/>
    <n v="465500"/>
    <n v="104100"/>
    <n v="361400"/>
    <n v="21591"/>
    <n v="1.1083333333333334"/>
    <n v="410808.51194365957"/>
    <n v="464826.99104992964"/>
    <n v="-1.4457764770577049E-3"/>
    <n v="-54018.492706000005"/>
    <n v="87214.824999999997"/>
    <n v="87214.824999999997"/>
    <n v="-24883.992782400208"/>
    <n v="-14329.694740000001"/>
    <n v="0"/>
    <n v="9225.6214999999993"/>
    <n v="122830.390102"/>
    <n v="0"/>
    <n v="0"/>
    <n v="36046.909079999998"/>
    <n v="111706.1"/>
    <n v="25273.623"/>
    <n v="0"/>
    <n v="24528.392548"/>
    <n v="410808.50600159983"/>
    <n v="21600"/>
    <n v="348500"/>
    <n v="62300"/>
    <n v="432400"/>
    <n v="1.0295238095238095"/>
    <n v="-7.1106337271750808E-2"/>
    <n v="0.97570000000000001"/>
    <n v="0.98809999999999998"/>
    <n v="0.9677"/>
    <n v="0.99619999999999997"/>
    <n v="1.0153000000000001"/>
    <n v="0.92691499999999993"/>
    <n v="0.89644257454763587"/>
    <n v="393500"/>
    <n v="20000"/>
    <n v="413500"/>
    <n v="57800"/>
    <n v="471300"/>
    <n v="0.14416159380188157"/>
    <n v="-0.4447646493756004"/>
    <n v="1.2459720730397422E-2"/>
    <n v="0.99352739831904768"/>
  </r>
  <r>
    <n v="2025"/>
    <n v="18131611404"/>
    <n v="0"/>
    <n v="1"/>
    <n v="0"/>
    <n v="5"/>
    <s v="RES"/>
    <n v="3041"/>
    <x v="0"/>
    <s v="SR"/>
    <n v="11"/>
    <n v="259"/>
    <s v="SL"/>
    <s v="G"/>
    <s v="AV"/>
    <n v="1974"/>
    <n v="1985"/>
    <x v="4"/>
    <n v="50"/>
    <n v="39"/>
    <n v="1"/>
    <n v="3142"/>
    <n v="0"/>
    <n v="0"/>
    <n v="483"/>
    <n v="483"/>
    <n v="0"/>
    <n v="3625"/>
    <n v="4000"/>
    <n v="2"/>
    <m/>
    <s v="FD"/>
    <s v="E"/>
    <m/>
    <n v="1"/>
    <n v="0"/>
    <n v="0"/>
    <n v="2"/>
    <n v="0"/>
    <n v="22"/>
    <n v="0"/>
    <n v="506"/>
    <n v="506"/>
    <n v="0"/>
    <n v="484"/>
    <n v="110"/>
    <n v="110"/>
    <n v="100"/>
    <n v="100"/>
    <n v="630983"/>
    <n v="523716"/>
    <n v="570"/>
    <n v="365"/>
    <n v="205"/>
    <n v="0"/>
    <d v="2022-06-10T00:00:00"/>
    <s v="E036832"/>
    <n v="663800"/>
    <n v="651086"/>
    <s v="SWD"/>
    <n v="30"/>
    <s v="N"/>
    <s v="Y"/>
    <n v="640700"/>
    <n v="160500"/>
    <n v="480200"/>
    <n v="12714"/>
    <n v="0.96520036155468514"/>
    <n v="611034.80865039106"/>
    <n v="649259.29314888141"/>
    <n v="1.3359283828439842E-2"/>
    <n v="-38224.498070000001"/>
    <n v="87214.824999999997"/>
    <n v="87214.824999999997"/>
    <n v="0"/>
    <n v="-14329.694740000001"/>
    <n v="0"/>
    <n v="9225.6214999999993"/>
    <n v="217060.22817800002"/>
    <n v="0"/>
    <n v="0"/>
    <n v="13817.981813999999"/>
    <n v="223412.2"/>
    <n v="0"/>
    <n v="0"/>
    <n v="25643.319481999999"/>
    <n v="611034.80816399993"/>
    <n v="12700"/>
    <n v="523800"/>
    <n v="87200"/>
    <n v="623700"/>
    <n v="0.93959023802350106"/>
    <n v="-2.6533479007335728E-2"/>
    <n v="0.97570000000000001"/>
    <n v="0.98809999999999998"/>
    <n v="0.9677"/>
    <n v="1.034"/>
    <n v="1.0153000000000001"/>
    <n v="0.92691499999999993"/>
    <n v="0.93045736005044721"/>
    <n v="556000"/>
    <n v="11800"/>
    <n v="567800"/>
    <n v="80800"/>
    <n v="648600"/>
    <n v="0.18242399000416493"/>
    <n v="-0.49657320872274141"/>
    <n v="1.233026377399719E-2"/>
    <n v="0.91951717675504674"/>
  </r>
  <r>
    <n v="2025"/>
    <n v="18131642408"/>
    <n v="-1.0788096613719298"/>
    <n v="0.34"/>
    <n v="15015"/>
    <n v="5"/>
    <s v="RES"/>
    <n v="3041"/>
    <x v="0"/>
    <s v="R1"/>
    <n v="11"/>
    <n v="259"/>
    <s v="SE"/>
    <s v="G"/>
    <s v="GD"/>
    <n v="1974"/>
    <n v="1979"/>
    <x v="4"/>
    <n v="50"/>
    <n v="45"/>
    <n v="1"/>
    <n v="1390"/>
    <n v="0"/>
    <n v="0"/>
    <n v="1344"/>
    <n v="1344"/>
    <n v="0"/>
    <n v="2734"/>
    <n v="3000"/>
    <n v="2"/>
    <m/>
    <s v="FD"/>
    <s v="G"/>
    <s v="Y"/>
    <n v="0"/>
    <n v="2"/>
    <n v="0"/>
    <n v="1"/>
    <n v="0"/>
    <n v="13"/>
    <n v="576"/>
    <n v="0"/>
    <n v="576"/>
    <n v="0"/>
    <n v="272"/>
    <n v="0"/>
    <n v="0"/>
    <n v="100"/>
    <n v="100"/>
    <n v="472017"/>
    <n v="396494"/>
    <n v="1035"/>
    <n v="365"/>
    <n v="365"/>
    <n v="305"/>
    <d v="2021-03-02T00:00:00"/>
    <s v="E030320"/>
    <n v="465000"/>
    <n v="441785"/>
    <s v="SWD"/>
    <n v="30"/>
    <s v="N"/>
    <s v="Y"/>
    <n v="490700"/>
    <n v="99200"/>
    <n v="391500"/>
    <n v="23215"/>
    <n v="1.055268817204301"/>
    <n v="418709.48609862418"/>
    <n v="535829.58797222772"/>
    <n v="9.1969814494044663E-2"/>
    <n v="-117120.10071000001"/>
    <n v="87214.824999999997"/>
    <n v="87214.824999999997"/>
    <n v="-27000.28206812881"/>
    <n v="-14329.694740000001"/>
    <n v="47273.897095"/>
    <n v="9225.6214999999993"/>
    <n v="96026.008010000005"/>
    <n v="0"/>
    <n v="0"/>
    <n v="38450.036351999996"/>
    <n v="132016.30000000002"/>
    <n v="50547.245999999999"/>
    <n v="0"/>
    <n v="29190.814272"/>
    <n v="418709.49571087112"/>
    <n v="23200"/>
    <n v="358500"/>
    <n v="60200"/>
    <n v="441900"/>
    <n v="0.95032258064516129"/>
    <n v="-9.9449765640921131E-2"/>
    <n v="0.97570000000000001"/>
    <n v="0.98809999999999998"/>
    <n v="0.97829999999999995"/>
    <n v="0.93310000000000004"/>
    <n v="1.0153000000000001"/>
    <n v="0.92691499999999993"/>
    <n v="0.84885876760693768"/>
    <n v="462400"/>
    <n v="21500"/>
    <n v="483900"/>
    <n v="55800"/>
    <n v="539700"/>
    <n v="0.23601532567049807"/>
    <n v="-0.4375"/>
    <n v="9.9857346647646214E-2"/>
    <n v="0.90877397696774187"/>
  </r>
  <r>
    <n v="2025"/>
    <n v="18131523024"/>
    <n v="-1.1711829815029451"/>
    <n v="0.31"/>
    <n v="13382"/>
    <n v="5"/>
    <s v="RES"/>
    <n v="3041"/>
    <x v="0"/>
    <s v="R1"/>
    <n v="11"/>
    <n v="259"/>
    <s v="CP"/>
    <s v="G+"/>
    <s v="GD"/>
    <n v="1974"/>
    <n v="1979"/>
    <x v="4"/>
    <n v="50"/>
    <n v="45"/>
    <n v="1"/>
    <n v="2200"/>
    <n v="0"/>
    <n v="0"/>
    <n v="484"/>
    <n v="484"/>
    <n v="0"/>
    <n v="2684"/>
    <n v="3000"/>
    <n v="2"/>
    <m/>
    <s v="FD"/>
    <s v="G"/>
    <s v="Y"/>
    <n v="0"/>
    <n v="0"/>
    <n v="1"/>
    <n v="1"/>
    <n v="0"/>
    <n v="13"/>
    <n v="484"/>
    <n v="0"/>
    <n v="484"/>
    <n v="0"/>
    <n v="937"/>
    <n v="0"/>
    <n v="487"/>
    <n v="100"/>
    <n v="100"/>
    <n v="598062"/>
    <n v="502372"/>
    <n v="837"/>
    <n v="365"/>
    <n v="365"/>
    <n v="107"/>
    <d v="2021-09-16T00:00:00"/>
    <s v="E033374"/>
    <n v="675000"/>
    <n v="645830"/>
    <s v="SWD"/>
    <n v="30"/>
    <s v="N"/>
    <s v="Y"/>
    <n v="606900"/>
    <n v="94000"/>
    <n v="512900"/>
    <n v="29170"/>
    <n v="0.89911111111111108"/>
    <n v="529252.27306525048"/>
    <n v="585272.33739076625"/>
    <n v="-3.5636287047674665E-2"/>
    <n v="-56020.072710000008"/>
    <n v="87214.824999999997"/>
    <n v="87214.824999999997"/>
    <n v="-29312.187298876561"/>
    <n v="19189.450408000001"/>
    <n v="47273.897095"/>
    <n v="9225.6214999999993"/>
    <n v="151983.60980000001"/>
    <n v="0"/>
    <n v="0"/>
    <n v="13846.590472"/>
    <n v="132016.30000000002"/>
    <n v="0"/>
    <n v="42091.021999999997"/>
    <n v="24528.392548"/>
    <n v="529252.27381412347"/>
    <n v="29200"/>
    <n v="471300"/>
    <n v="57900"/>
    <n v="558400"/>
    <n v="0.82725925925925925"/>
    <n v="-7.991431866864393E-2"/>
    <n v="0.97570000000000001"/>
    <n v="0.9819"/>
    <n v="0.97829999999999995"/>
    <n v="0.93310000000000004"/>
    <n v="1.0153000000000001"/>
    <n v="0.92691499999999993"/>
    <n v="0.84353246018950745"/>
    <n v="513700"/>
    <n v="27000"/>
    <n v="540700"/>
    <n v="53700"/>
    <n v="594400"/>
    <n v="5.4201598752193408E-2"/>
    <n v="-0.42872340425531913"/>
    <n v="-2.0596473883671116E-2"/>
    <n v="0.79759989228148154"/>
  </r>
  <r>
    <n v="2025"/>
    <n v="18131623400"/>
    <n v="1.0188473201992472"/>
    <n v="2.77"/>
    <n v="120874"/>
    <n v="5"/>
    <s v="RES"/>
    <n v="3042"/>
    <x v="0"/>
    <s v="SR"/>
    <n v="11"/>
    <n v="259"/>
    <s v="RN"/>
    <s v="A+"/>
    <s v="GD"/>
    <n v="1973"/>
    <n v="1978"/>
    <x v="5"/>
    <n v="51"/>
    <n v="46"/>
    <n v="1"/>
    <n v="1645"/>
    <n v="0"/>
    <n v="0"/>
    <n v="0"/>
    <n v="0"/>
    <n v="0"/>
    <n v="1645"/>
    <n v="2000"/>
    <n v="1"/>
    <s v="B"/>
    <s v="FD"/>
    <s v="E"/>
    <s v="Y"/>
    <n v="0"/>
    <n v="1"/>
    <n v="0"/>
    <n v="1"/>
    <n v="0"/>
    <n v="9"/>
    <n v="405"/>
    <n v="0"/>
    <n v="405"/>
    <n v="0"/>
    <n v="0"/>
    <n v="504"/>
    <n v="504"/>
    <n v="100"/>
    <n v="100"/>
    <n v="301379"/>
    <n v="232062"/>
    <n v="286"/>
    <n v="286"/>
    <n v="0"/>
    <n v="0"/>
    <d v="2023-03-21T00:00:00"/>
    <s v="E039705"/>
    <n v="450000"/>
    <n v="410075"/>
    <s v="SWD"/>
    <n v="30"/>
    <s v="N"/>
    <s v="Y"/>
    <n v="564400"/>
    <n v="218400"/>
    <n v="346000"/>
    <n v="39925"/>
    <n v="1.2542222222222221"/>
    <n v="431901.84448042139"/>
    <n v="477136.16581899958"/>
    <n v="-0.1546134553171517"/>
    <n v="-45234.332000000002"/>
    <n v="87214.824999999997"/>
    <n v="87214.824999999997"/>
    <n v="25499.553827459447"/>
    <n v="30313.66692"/>
    <n v="47273.897095"/>
    <n v="9410.13393"/>
    <n v="113642.290055"/>
    <n v="0"/>
    <n v="0"/>
    <n v="0"/>
    <n v="91395.900000000009"/>
    <n v="25273.623"/>
    <n v="0"/>
    <n v="20524.791284999999"/>
    <n v="492529.17411245947"/>
    <n v="39900"/>
    <n v="379800"/>
    <n v="112700"/>
    <n v="532400"/>
    <n v="1.183111111111111"/>
    <n v="-5.6697377746279233E-2"/>
    <n v="0.97570000000000001"/>
    <n v="0.85299999999999998"/>
    <n v="0.97829999999999995"/>
    <n v="0.99099999999999999"/>
    <n v="0.97289999999999999"/>
    <n v="0.92691499999999993"/>
    <n v="0.74576646907828814"/>
    <n v="402900"/>
    <n v="37000"/>
    <n v="439900"/>
    <n v="104500"/>
    <n v="544400"/>
    <n v="0.27138728323699424"/>
    <n v="-0.52152014652014655"/>
    <n v="-3.543586109142452E-2"/>
    <n v="1.1092570399999999"/>
  </r>
  <r>
    <n v="2025"/>
    <n v="18131524442"/>
    <n v="-0.916290731874155"/>
    <n v="0.4"/>
    <n v="17631"/>
    <n v="5"/>
    <s v="RES"/>
    <n v="3041"/>
    <x v="0"/>
    <s v="R1"/>
    <n v="11"/>
    <n v="259"/>
    <s v="RN"/>
    <s v="G"/>
    <s v="AV"/>
    <n v="1973"/>
    <n v="1978"/>
    <x v="5"/>
    <n v="51"/>
    <n v="46"/>
    <n v="1"/>
    <n v="1727"/>
    <n v="0"/>
    <n v="0"/>
    <n v="1140"/>
    <n v="1122"/>
    <n v="18"/>
    <n v="2849"/>
    <n v="3000"/>
    <n v="2"/>
    <m/>
    <s v="FD"/>
    <s v="G"/>
    <s v="Y"/>
    <n v="0"/>
    <n v="1"/>
    <n v="0"/>
    <n v="2"/>
    <n v="0"/>
    <n v="11"/>
    <n v="514"/>
    <n v="0"/>
    <n v="514"/>
    <n v="0"/>
    <n v="0"/>
    <n v="0"/>
    <n v="0"/>
    <n v="100"/>
    <n v="100"/>
    <n v="486790"/>
    <n v="374828"/>
    <n v="762"/>
    <n v="365"/>
    <n v="365"/>
    <n v="32"/>
    <d v="2021-11-30T00:00:00"/>
    <s v="E034576"/>
    <n v="450000"/>
    <n v="450000"/>
    <s v="SWD"/>
    <n v="30"/>
    <s v="N"/>
    <s v="Y"/>
    <n v="411200"/>
    <n v="108500"/>
    <n v="302700"/>
    <n v="0"/>
    <n v="0.9137777777777778"/>
    <n v="428650.66175105545"/>
    <n v="461526.77245987148"/>
    <n v="0.12239001084599097"/>
    <n v="-32876.122710000003"/>
    <n v="87214.824999999997"/>
    <n v="87214.824999999997"/>
    <n v="-22932.783328573645"/>
    <n v="-14329.694740000001"/>
    <n v="0"/>
    <n v="9410.13393"/>
    <n v="119307.13369300001"/>
    <n v="0"/>
    <n v="0"/>
    <n v="32613.87012"/>
    <n v="111706.1"/>
    <n v="25273.623"/>
    <n v="0"/>
    <n v="26048.747458000002"/>
    <n v="428650.65742242645"/>
    <n v="0"/>
    <n v="364400"/>
    <n v="64300"/>
    <n v="428700"/>
    <n v="0.95266666666666666"/>
    <n v="4.2558365758754865E-2"/>
    <n v="0.97570000000000001"/>
    <n v="0.98809999999999998"/>
    <n v="0.9677"/>
    <n v="0.93310000000000004"/>
    <n v="0.97289999999999999"/>
    <n v="0.92691499999999993"/>
    <n v="0.80459613760042237"/>
    <n v="380200"/>
    <n v="0"/>
    <n v="380200"/>
    <n v="59600"/>
    <n v="439800"/>
    <n v="0.2560290716881401"/>
    <n v="-0.45069124423963136"/>
    <n v="6.955252918287938E-2"/>
    <n v="0.90427528286666659"/>
  </r>
  <r>
    <n v="2025"/>
    <n v="18131532426"/>
    <n v="-1.5606477482646683"/>
    <n v="0.21"/>
    <n v="9176"/>
    <n v="5"/>
    <s v="RES"/>
    <s v="YN1"/>
    <x v="0"/>
    <s v="R1"/>
    <n v="11"/>
    <n v="259"/>
    <s v="RN"/>
    <s v="G"/>
    <s v="GD"/>
    <n v="1973"/>
    <n v="1978"/>
    <x v="5"/>
    <n v="51"/>
    <n v="46"/>
    <n v="1"/>
    <n v="1540"/>
    <n v="0"/>
    <n v="0"/>
    <n v="1540"/>
    <n v="1540"/>
    <n v="0"/>
    <n v="3080"/>
    <n v="3500"/>
    <n v="2"/>
    <m/>
    <s v="FD"/>
    <s v="G"/>
    <s v="Y"/>
    <n v="0"/>
    <n v="2"/>
    <n v="0"/>
    <n v="1"/>
    <n v="0"/>
    <n v="11"/>
    <n v="471"/>
    <n v="0"/>
    <n v="471"/>
    <n v="0"/>
    <n v="371"/>
    <n v="0"/>
    <n v="0"/>
    <n v="100"/>
    <n v="100"/>
    <n v="486584"/>
    <n v="374670"/>
    <n v="118"/>
    <n v="118"/>
    <n v="0"/>
    <n v="0"/>
    <d v="2023-09-05T00:00:00"/>
    <s v="E041393"/>
    <n v="585000"/>
    <n v="585000"/>
    <s v="SWD"/>
    <n v="30"/>
    <s v="N"/>
    <s v="Y"/>
    <n v="416100"/>
    <n v="71900"/>
    <n v="344200"/>
    <n v="0"/>
    <n v="0.71128205128205124"/>
    <n v="495629.99384413328"/>
    <n v="514293.10544536484"/>
    <n v="0.23598439184178044"/>
    <n v="-18663.116000000002"/>
    <n v="87214.824999999997"/>
    <n v="87214.824999999997"/>
    <n v="-39059.651503814886"/>
    <n v="-14329.694740000001"/>
    <n v="47273.897095"/>
    <n v="9410.13393"/>
    <n v="106388.52686000001"/>
    <n v="0"/>
    <n v="0"/>
    <n v="44057.333319999998"/>
    <n v="111706.1"/>
    <n v="50547.245999999999"/>
    <n v="0"/>
    <n v="23869.572087"/>
    <n v="495629.99704818503"/>
    <n v="0"/>
    <n v="447500"/>
    <n v="48200"/>
    <n v="495700"/>
    <n v="0.84735042735042732"/>
    <n v="0.19130016822879115"/>
    <n v="0.97570000000000001"/>
    <n v="0.98809999999999998"/>
    <n v="0.97829999999999995"/>
    <n v="0.99619999999999997"/>
    <n v="0.97289999999999999"/>
    <n v="0.92691499999999993"/>
    <n v="0.8684155749618675"/>
    <n v="454700"/>
    <n v="0"/>
    <n v="454700"/>
    <n v="44600"/>
    <n v="499300"/>
    <n v="0.32103428239395698"/>
    <n v="-0.37969401947148818"/>
    <n v="0.19995193463109828"/>
    <n v="0.82160151111111113"/>
  </r>
  <r>
    <n v="2025"/>
    <n v="18131524412"/>
    <n v="-1.0788096613719298"/>
    <n v="0.34"/>
    <n v="14910"/>
    <n v="5"/>
    <s v="RES"/>
    <n v="3041"/>
    <x v="0"/>
    <s v="R1"/>
    <n v="11"/>
    <n v="259"/>
    <s v="RN"/>
    <s v="G"/>
    <s v="GD"/>
    <n v="1973"/>
    <n v="1978"/>
    <x v="5"/>
    <n v="51"/>
    <n v="46"/>
    <n v="1"/>
    <n v="1786"/>
    <n v="0"/>
    <n v="0"/>
    <n v="1786"/>
    <n v="1786"/>
    <n v="0"/>
    <n v="3572"/>
    <n v="4000"/>
    <n v="2"/>
    <s v="B"/>
    <s v="FD"/>
    <s v="G"/>
    <s v="Y"/>
    <n v="0"/>
    <n v="2"/>
    <n v="0"/>
    <n v="2"/>
    <n v="0"/>
    <n v="14"/>
    <n v="576"/>
    <n v="0"/>
    <n v="576"/>
    <n v="0"/>
    <n v="482"/>
    <n v="456"/>
    <n v="0"/>
    <n v="100"/>
    <n v="100"/>
    <n v="581930"/>
    <n v="483002"/>
    <n v="490"/>
    <n v="365"/>
    <n v="125"/>
    <n v="0"/>
    <d v="2022-08-29T00:00:00"/>
    <s v="E037932"/>
    <n v="618000"/>
    <n v="618000"/>
    <s v="SWD"/>
    <n v="30"/>
    <s v="N"/>
    <s v="Y"/>
    <n v="509700"/>
    <n v="99200"/>
    <n v="410500"/>
    <n v="0"/>
    <n v="0.824757281553398"/>
    <n v="540335.22847013525"/>
    <n v="586171.2766350254"/>
    <n v="0.15003193375519991"/>
    <n v="-45836.061750000008"/>
    <n v="87214.824999999997"/>
    <n v="87214.824999999997"/>
    <n v="-27000.28206812881"/>
    <n v="-14329.694740000001"/>
    <n v="47273.897095"/>
    <n v="9410.13393"/>
    <n v="123383.05777400002"/>
    <n v="0"/>
    <n v="0"/>
    <n v="51095.063188"/>
    <n v="142171.4"/>
    <n v="50547.245999999999"/>
    <n v="0"/>
    <n v="29190.814272"/>
    <n v="540335.22370087123"/>
    <n v="0"/>
    <n v="480100"/>
    <n v="60200"/>
    <n v="540300"/>
    <n v="0.87427184466019414"/>
    <n v="6.0035314891112419E-2"/>
    <n v="0.97570000000000001"/>
    <n v="0.98809999999999998"/>
    <n v="0.97829999999999995"/>
    <n v="1.034"/>
    <n v="0.97289999999999999"/>
    <n v="0.92691499999999993"/>
    <n v="0.90136689872572884"/>
    <n v="517400"/>
    <n v="0"/>
    <n v="517400"/>
    <n v="55800"/>
    <n v="573200"/>
    <n v="0.26041412911084044"/>
    <n v="-0.4375"/>
    <n v="0.12458308809103394"/>
    <n v="0.85333970590614883"/>
  </r>
  <r>
    <n v="2025"/>
    <n v="18131644404"/>
    <n v="-1.6094379124341003"/>
    <n v="0.2"/>
    <n v="8635"/>
    <n v="5"/>
    <s v="RES"/>
    <n v="3042"/>
    <x v="0"/>
    <s v="R1"/>
    <n v="11"/>
    <n v="259"/>
    <s v="RN"/>
    <s v="A+"/>
    <s v="VG"/>
    <n v="1972"/>
    <n v="1978"/>
    <x v="5"/>
    <n v="52"/>
    <n v="46"/>
    <n v="1"/>
    <n v="1170"/>
    <n v="0"/>
    <n v="0"/>
    <n v="1170"/>
    <n v="1170"/>
    <n v="0"/>
    <n v="2340"/>
    <n v="2500"/>
    <n v="0"/>
    <s v="S"/>
    <s v="FD"/>
    <s v="G"/>
    <s v="Y"/>
    <n v="0"/>
    <n v="2"/>
    <n v="0"/>
    <n v="2"/>
    <n v="0"/>
    <n v="11"/>
    <n v="0"/>
    <n v="0"/>
    <n v="0"/>
    <n v="420"/>
    <n v="0"/>
    <n v="224"/>
    <n v="0"/>
    <n v="100"/>
    <n v="100"/>
    <n v="329176"/>
    <n v="283091"/>
    <n v="418"/>
    <n v="365"/>
    <n v="53"/>
    <n v="0"/>
    <d v="2022-11-09T00:00:00"/>
    <s v="E038727"/>
    <n v="375000"/>
    <n v="375000"/>
    <s v="SWD"/>
    <n v="30"/>
    <s v="N"/>
    <s v="Y"/>
    <n v="424800"/>
    <n v="69100"/>
    <n v="355700"/>
    <n v="0"/>
    <n v="1.1328"/>
    <n v="443853.91389470029"/>
    <n v="496540.36935935041"/>
    <n v="0.16888034218302828"/>
    <n v="-52686.469062000004"/>
    <n v="87214.824999999997"/>
    <n v="87214.824999999997"/>
    <n v="-40280.764218962147"/>
    <n v="30313.66692"/>
    <n v="106557.38887"/>
    <n v="9594.6463599999988"/>
    <n v="80827.647030000007"/>
    <n v="0"/>
    <n v="0"/>
    <n v="33472.129860000001"/>
    <n v="111706.1"/>
    <n v="50547.245999999999"/>
    <n v="0"/>
    <n v="0"/>
    <n v="504481.24175903777"/>
    <n v="0"/>
    <n v="457500"/>
    <n v="46900"/>
    <n v="504400"/>
    <n v="1.3450666666666666"/>
    <n v="0.18738229755178909"/>
    <n v="0.97570000000000001"/>
    <n v="0.85299999999999998"/>
    <n v="0.9748"/>
    <n v="0.93440000000000001"/>
    <n v="0.97289999999999999"/>
    <n v="0.92691499999999993"/>
    <n v="0.70065704820986996"/>
    <n v="484100"/>
    <n v="0"/>
    <n v="484100"/>
    <n v="43500"/>
    <n v="527600"/>
    <n v="0.3609783525442789"/>
    <n v="-0.37047756874095511"/>
    <n v="0.24199623352165725"/>
    <n v="1.2664360825013334"/>
  </r>
  <r>
    <n v="2025"/>
    <n v="18131643428"/>
    <n v="-1.2039728043259361"/>
    <n v="0.3"/>
    <n v="13257"/>
    <n v="5"/>
    <s v="RES"/>
    <n v="3041"/>
    <x v="0"/>
    <s v="R1"/>
    <n v="11"/>
    <n v="259"/>
    <s v="RN"/>
    <s v="G"/>
    <s v="GD"/>
    <n v="1972"/>
    <n v="1978"/>
    <x v="5"/>
    <n v="52"/>
    <n v="46"/>
    <n v="1"/>
    <n v="1663"/>
    <n v="0"/>
    <n v="0"/>
    <n v="0"/>
    <n v="0"/>
    <n v="0"/>
    <n v="1663"/>
    <n v="2000"/>
    <n v="2"/>
    <m/>
    <s v="FD"/>
    <s v="G"/>
    <s v="Y"/>
    <n v="0"/>
    <n v="1"/>
    <n v="0"/>
    <n v="1"/>
    <n v="1"/>
    <n v="10"/>
    <n v="441"/>
    <n v="0"/>
    <n v="441"/>
    <n v="0"/>
    <n v="384"/>
    <n v="120"/>
    <n v="0"/>
    <n v="100"/>
    <n v="100"/>
    <n v="343277"/>
    <n v="284920"/>
    <n v="917"/>
    <n v="365"/>
    <n v="365"/>
    <n v="187"/>
    <d v="2021-06-28T00:00:00"/>
    <s v="E031946"/>
    <n v="310000"/>
    <n v="310000"/>
    <s v="SWD"/>
    <n v="30"/>
    <s v="N"/>
    <s v="Y"/>
    <n v="445700"/>
    <n v="92100"/>
    <n v="353600"/>
    <n v="0"/>
    <n v="1.437741935483871"/>
    <n v="370188.32940179989"/>
    <n v="450895.27758512896"/>
    <n v="1.1656445109106938E-2"/>
    <n v="-80706.952710000012"/>
    <n v="87214.824999999997"/>
    <n v="87214.824999999997"/>
    <n v="-30132.845934857665"/>
    <n v="-14329.694740000001"/>
    <n v="47273.897095"/>
    <n v="9594.6463599999988"/>
    <n v="114885.79231700001"/>
    <n v="0"/>
    <n v="0"/>
    <n v="0"/>
    <n v="101551"/>
    <n v="25273.623"/>
    <n v="0"/>
    <n v="22349.217176999999"/>
    <n v="370188.33256414236"/>
    <n v="0"/>
    <n v="313100"/>
    <n v="57100"/>
    <n v="370200"/>
    <n v="1.1941935483870967"/>
    <n v="-0.16939645501458381"/>
    <n v="0.97570000000000001"/>
    <n v="0.98809999999999998"/>
    <n v="0.97829999999999995"/>
    <n v="0.99099999999999999"/>
    <n v="0.97289999999999999"/>
    <n v="0.92691499999999993"/>
    <n v="0.86388258862398182"/>
    <n v="381900"/>
    <n v="0"/>
    <n v="381900"/>
    <n v="52900"/>
    <n v="434800"/>
    <n v="8.0033936651583704E-2"/>
    <n v="-0.42562432138979372"/>
    <n v="-2.4455912048463091E-2"/>
    <n v="1.1422356364193549"/>
  </r>
  <r>
    <n v="2025"/>
    <n v="18131643427"/>
    <n v="-1.3093333199837622"/>
    <n v="0.27"/>
    <n v="11637"/>
    <n v="5"/>
    <s v="RES"/>
    <n v="3041"/>
    <x v="0"/>
    <s v="R1"/>
    <n v="11"/>
    <n v="259"/>
    <s v="SE"/>
    <s v="G"/>
    <s v="GD"/>
    <n v="1972"/>
    <n v="1978"/>
    <x v="5"/>
    <n v="52"/>
    <n v="46"/>
    <n v="1"/>
    <n v="1450"/>
    <n v="0"/>
    <n v="0"/>
    <n v="725"/>
    <n v="725"/>
    <n v="0"/>
    <n v="2175"/>
    <n v="2500"/>
    <n v="2"/>
    <m/>
    <s v="FD"/>
    <s v="G"/>
    <s v="Y"/>
    <n v="0"/>
    <n v="2"/>
    <n v="0"/>
    <n v="1"/>
    <n v="1"/>
    <n v="10"/>
    <n v="0"/>
    <n v="525"/>
    <n v="525"/>
    <n v="0"/>
    <n v="0"/>
    <n v="0"/>
    <n v="0"/>
    <n v="100"/>
    <n v="100"/>
    <n v="398803"/>
    <n v="331006"/>
    <n v="725"/>
    <n v="365"/>
    <n v="360"/>
    <n v="0"/>
    <d v="2022-01-06T00:00:00"/>
    <s v="E034752"/>
    <n v="410000"/>
    <n v="410000"/>
    <s v="SWD"/>
    <n v="30"/>
    <s v="N"/>
    <s v="Y"/>
    <n v="431200"/>
    <n v="86200"/>
    <n v="345000"/>
    <n v="0"/>
    <n v="1.0517073170731708"/>
    <n v="460338.3683124737"/>
    <n v="483815.44820731442"/>
    <n v="0.1220209837831967"/>
    <n v="-23477.093440000004"/>
    <n v="87214.824999999997"/>
    <n v="87214.824999999997"/>
    <n v="-32769.792695222328"/>
    <n v="-14329.694740000001"/>
    <n v="47273.897095"/>
    <n v="9594.6463599999988"/>
    <n v="100171.01555000001"/>
    <n v="0"/>
    <n v="0"/>
    <n v="20741.277050000001"/>
    <n v="101551"/>
    <n v="50547.245999999999"/>
    <n v="0"/>
    <n v="26606.210924999999"/>
    <n v="460338.36210477765"/>
    <n v="0"/>
    <n v="405900"/>
    <n v="54400"/>
    <n v="460300"/>
    <n v="1.1226829268292684"/>
    <n v="6.7486085343228197E-2"/>
    <n v="0.97570000000000001"/>
    <n v="0.98809999999999998"/>
    <n v="0.97829999999999995"/>
    <n v="0.93440000000000001"/>
    <n v="0.97289999999999999"/>
    <n v="0.92691499999999993"/>
    <n v="0.81454277579237999"/>
    <n v="413200"/>
    <n v="0"/>
    <n v="413200"/>
    <n v="50500"/>
    <n v="463700"/>
    <n v="0.19768115942028985"/>
    <n v="-0.41415313225058004"/>
    <n v="7.5371057513914652E-2"/>
    <n v="1.0737144062439024"/>
  </r>
  <r>
    <n v="2025"/>
    <n v="18131643444"/>
    <n v="-0.96758402626170559"/>
    <n v="0.38"/>
    <n v="16455"/>
    <n v="5"/>
    <s v="RES"/>
    <s v="YN1"/>
    <x v="0"/>
    <s v="R1"/>
    <n v="11"/>
    <n v="259"/>
    <s v="RN"/>
    <s v="G"/>
    <s v="GD"/>
    <n v="1972"/>
    <n v="1978"/>
    <x v="5"/>
    <n v="52"/>
    <n v="46"/>
    <n v="1"/>
    <n v="2223"/>
    <n v="0"/>
    <n v="0"/>
    <n v="0"/>
    <n v="0"/>
    <n v="0"/>
    <n v="2223"/>
    <n v="2500"/>
    <n v="2"/>
    <s v="S"/>
    <s v="FD"/>
    <s v="G"/>
    <s v="Y"/>
    <n v="0"/>
    <n v="1"/>
    <n v="1"/>
    <n v="0"/>
    <n v="1"/>
    <n v="12"/>
    <n v="579"/>
    <n v="0"/>
    <n v="579"/>
    <n v="0"/>
    <n v="0"/>
    <n v="546"/>
    <n v="0"/>
    <n v="100"/>
    <n v="100"/>
    <n v="439573"/>
    <n v="378033"/>
    <n v="42"/>
    <n v="42"/>
    <n v="0"/>
    <n v="0"/>
    <d v="2023-11-20T00:00:00"/>
    <s v="E042136"/>
    <n v="535000"/>
    <n v="535000"/>
    <s v="SWD"/>
    <n v="30"/>
    <s v="N"/>
    <s v="Y"/>
    <n v="526800"/>
    <n v="105600"/>
    <n v="421200"/>
    <n v="0"/>
    <n v="0.98467289719626172"/>
    <n v="558250.36771920417"/>
    <n v="564893.17015354079"/>
    <n v="7.2310497633904319E-2"/>
    <n v="-6642.8040000000001"/>
    <n v="87214.824999999997"/>
    <n v="87214.824999999997"/>
    <n v="-24216.544001337923"/>
    <n v="-14329.694740000001"/>
    <n v="47273.897095"/>
    <n v="9594.6463599999988"/>
    <n v="153572.52935700002"/>
    <n v="0"/>
    <n v="0"/>
    <n v="0"/>
    <n v="121861.20000000001"/>
    <n v="25273.623"/>
    <n v="42091.021999999997"/>
    <n v="29342.849762999998"/>
    <n v="558250.37483366218"/>
    <n v="0"/>
    <n v="495300"/>
    <n v="63000"/>
    <n v="558300"/>
    <n v="1.043551401869159"/>
    <n v="5.9794988610478363E-2"/>
    <n v="0.97570000000000001"/>
    <n v="0.98809999999999998"/>
    <n v="0.97829999999999995"/>
    <n v="0.93440000000000001"/>
    <n v="0.97289999999999999"/>
    <n v="0.92691499999999993"/>
    <n v="0.81454277579237999"/>
    <n v="485700"/>
    <n v="0"/>
    <n v="485700"/>
    <n v="58400"/>
    <n v="544100"/>
    <n v="0.15313390313390313"/>
    <n v="-0.44696969696969696"/>
    <n v="3.2839787395596051E-2"/>
    <n v="1.0045928897196261"/>
  </r>
  <r>
    <n v="2025"/>
    <n v="18131644543"/>
    <n v="-1.0788096613719298"/>
    <n v="0.34"/>
    <n v="14752"/>
    <n v="5"/>
    <s v="RES"/>
    <n v="3042"/>
    <x v="0"/>
    <s v="R1"/>
    <n v="11"/>
    <n v="259"/>
    <s v="RN"/>
    <s v="A"/>
    <s v="GD"/>
    <n v="1970"/>
    <n v="1977"/>
    <x v="5"/>
    <n v="54"/>
    <n v="47"/>
    <n v="1"/>
    <n v="1850"/>
    <n v="0"/>
    <n v="0"/>
    <n v="0"/>
    <n v="0"/>
    <n v="0"/>
    <n v="1850"/>
    <n v="2000"/>
    <n v="2"/>
    <m/>
    <s v="FD"/>
    <s v="G"/>
    <s v="Y"/>
    <n v="0"/>
    <n v="1"/>
    <n v="0"/>
    <n v="1"/>
    <n v="0"/>
    <n v="9"/>
    <n v="588"/>
    <n v="0"/>
    <n v="588"/>
    <n v="0"/>
    <n v="0"/>
    <n v="104"/>
    <n v="104"/>
    <n v="100"/>
    <n v="100"/>
    <n v="286664"/>
    <n v="235064"/>
    <n v="755"/>
    <n v="365"/>
    <n v="365"/>
    <n v="25"/>
    <d v="2021-12-07T00:00:00"/>
    <s v="E034365"/>
    <n v="420000"/>
    <n v="386271"/>
    <s v="SWD"/>
    <n v="30"/>
    <s v="N"/>
    <s v="Y"/>
    <n v="457600"/>
    <n v="99200"/>
    <n v="358400"/>
    <n v="33729"/>
    <n v="1.0895238095238096"/>
    <n v="448223.79903644253"/>
    <n v="478939.80740769993"/>
    <n v="4.6634194509833769E-2"/>
    <n v="-30716.020710000004"/>
    <n v="87214.824999999997"/>
    <n v="87214.824999999997"/>
    <n v="-27000.28206812881"/>
    <n v="0"/>
    <n v="47273.897095"/>
    <n v="9963.6712200000002"/>
    <n v="127804.39915000001"/>
    <n v="0"/>
    <n v="0"/>
    <n v="0"/>
    <n v="91395.900000000009"/>
    <n v="25273.623"/>
    <n v="0"/>
    <n v="29798.956236000002"/>
    <n v="448223.79392287118"/>
    <n v="33700"/>
    <n v="388000"/>
    <n v="60200"/>
    <n v="481900"/>
    <n v="1.1473809523809524"/>
    <n v="5.3103146853146856E-2"/>
    <n v="0.97570000000000001"/>
    <n v="1.0046999999999999"/>
    <n v="0.97829999999999995"/>
    <n v="0.99099999999999999"/>
    <n v="0.97289999999999999"/>
    <n v="0.92691499999999993"/>
    <n v="0.87839574616993676"/>
    <n v="408100"/>
    <n v="31300"/>
    <n v="439400"/>
    <n v="55800"/>
    <n v="495200"/>
    <n v="0.22600446428571427"/>
    <n v="-0.4375"/>
    <n v="8.2167832167832161E-2"/>
    <n v="1.1059142364047618"/>
  </r>
  <r>
    <n v="2025"/>
    <n v="18131644543"/>
    <n v="-1.0788096613719298"/>
    <n v="0.34"/>
    <n v="14752"/>
    <n v="5"/>
    <s v="RES"/>
    <n v="3042"/>
    <x v="0"/>
    <s v="R1"/>
    <n v="11"/>
    <n v="259"/>
    <s v="RN"/>
    <s v="A"/>
    <s v="GD"/>
    <n v="1970"/>
    <n v="1977"/>
    <x v="5"/>
    <n v="54"/>
    <n v="47"/>
    <n v="1"/>
    <n v="1850"/>
    <n v="0"/>
    <n v="0"/>
    <n v="0"/>
    <n v="0"/>
    <n v="0"/>
    <n v="1850"/>
    <n v="2000"/>
    <n v="2"/>
    <m/>
    <s v="FD"/>
    <s v="G"/>
    <s v="Y"/>
    <n v="0"/>
    <n v="1"/>
    <n v="0"/>
    <n v="1"/>
    <n v="0"/>
    <n v="9"/>
    <n v="588"/>
    <n v="0"/>
    <n v="588"/>
    <n v="0"/>
    <n v="0"/>
    <n v="104"/>
    <n v="104"/>
    <n v="100"/>
    <n v="100"/>
    <n v="286664"/>
    <n v="235064"/>
    <n v="514"/>
    <n v="365"/>
    <n v="149"/>
    <n v="0"/>
    <d v="2022-08-05T00:00:00"/>
    <s v="E037584"/>
    <n v="475000"/>
    <n v="441271"/>
    <s v="SWD"/>
    <n v="30"/>
    <s v="N"/>
    <s v="Y"/>
    <n v="457600"/>
    <n v="99200"/>
    <n v="358400"/>
    <n v="33729"/>
    <n v="0.96336842105263154"/>
    <n v="435387.22834272962"/>
    <n v="478939.80740769993"/>
    <n v="4.6634194509833769E-2"/>
    <n v="-43552.592646000005"/>
    <n v="87214.824999999997"/>
    <n v="87214.824999999997"/>
    <n v="-27000.28206812881"/>
    <n v="0"/>
    <n v="47273.897095"/>
    <n v="9963.6712200000002"/>
    <n v="127804.39915000001"/>
    <n v="0"/>
    <n v="0"/>
    <n v="0"/>
    <n v="91395.900000000009"/>
    <n v="25273.623"/>
    <n v="0"/>
    <n v="29798.956236000002"/>
    <n v="435387.22198687121"/>
    <n v="33700"/>
    <n v="375200"/>
    <n v="60200"/>
    <n v="469100"/>
    <n v="0.987578947368421"/>
    <n v="2.513111888111888E-2"/>
    <n v="0.97570000000000001"/>
    <n v="1.0046999999999999"/>
    <n v="0.97829999999999995"/>
    <n v="0.99099999999999999"/>
    <n v="0.97289999999999999"/>
    <n v="0.92691499999999993"/>
    <n v="0.87839574616993676"/>
    <n v="408100"/>
    <n v="31300"/>
    <n v="439400"/>
    <n v="55800"/>
    <n v="495200"/>
    <n v="0.22600446428571427"/>
    <n v="-0.4375"/>
    <n v="8.2167832167832161E-2"/>
    <n v="0.95083664706105264"/>
  </r>
  <r>
    <n v="2025"/>
    <n v="18131644429"/>
    <n v="-3.5065578973199818"/>
    <n v="0.03"/>
    <n v="1288"/>
    <n v="5"/>
    <s v="CON"/>
    <n v="3042"/>
    <x v="0"/>
    <s v="R1"/>
    <n v="11"/>
    <n v="262"/>
    <s v="CE"/>
    <s v="G"/>
    <s v="AV"/>
    <n v="1969"/>
    <n v="1977"/>
    <x v="5"/>
    <n v="55"/>
    <n v="47"/>
    <n v="1"/>
    <n v="1288"/>
    <n v="0"/>
    <n v="0"/>
    <n v="0"/>
    <n v="0"/>
    <n v="0"/>
    <n v="1288"/>
    <n v="1500"/>
    <n v="2"/>
    <m/>
    <s v="FD"/>
    <s v="E"/>
    <s v="Y"/>
    <n v="0"/>
    <n v="1"/>
    <n v="0"/>
    <n v="0"/>
    <n v="1"/>
    <n v="10"/>
    <n v="0"/>
    <n v="660"/>
    <n v="660"/>
    <n v="0"/>
    <n v="0"/>
    <n v="144"/>
    <n v="0"/>
    <n v="100"/>
    <n v="100"/>
    <n v="258551"/>
    <n v="201670"/>
    <n v="850"/>
    <n v="365"/>
    <n v="365"/>
    <n v="120"/>
    <d v="2021-09-03T00:00:00"/>
    <s v="E033001"/>
    <n v="300000"/>
    <n v="300000"/>
    <s v="SWD"/>
    <n v="30"/>
    <s v="N"/>
    <s v="Y"/>
    <n v="265500"/>
    <n v="39800"/>
    <n v="225700"/>
    <n v="0"/>
    <n v="0.88500000000000001"/>
    <n v="271706.78266606131"/>
    <n v="331738.46561847185"/>
    <n v="0.24948574620893352"/>
    <n v="-60031.690710000003"/>
    <n v="87214.824999999997"/>
    <n v="87214.824999999997"/>
    <n v="-87761.591044208326"/>
    <n v="-14329.694740000001"/>
    <n v="0"/>
    <n v="10148.183649999999"/>
    <n v="88979.495192000002"/>
    <n v="0"/>
    <n v="0"/>
    <n v="0"/>
    <n v="101551"/>
    <n v="25273.623"/>
    <n v="0"/>
    <n v="33447.808019999997"/>
    <n v="271706.78336779168"/>
    <n v="0"/>
    <n v="272300"/>
    <n v="-500"/>
    <n v="271800"/>
    <n v="0.90600000000000003"/>
    <n v="2.3728813559322035E-2"/>
    <n v="0.97570000000000001"/>
    <n v="0.98809999999999998"/>
    <n v="0.9677"/>
    <n v="1.0062"/>
    <n v="0.97289999999999999"/>
    <n v="0.92691499999999993"/>
    <n v="0.86762901473962595"/>
    <n v="320700"/>
    <n v="0"/>
    <n v="320700"/>
    <n v="-500"/>
    <n v="320200"/>
    <n v="0.42091271599468322"/>
    <n v="-1.0125628140703518"/>
    <n v="0.20602636534839924"/>
    <n v="0.86722769763333329"/>
  </r>
  <r>
    <n v="2025"/>
    <n v="18131644431"/>
    <n v="-3.912023005428146"/>
    <n v="0.02"/>
    <n v="1467"/>
    <n v="5"/>
    <s v="CON"/>
    <n v="3042"/>
    <x v="0"/>
    <s v="R1"/>
    <n v="11"/>
    <n v="262"/>
    <s v="CE"/>
    <s v="G"/>
    <s v="AV"/>
    <n v="1969"/>
    <n v="1977"/>
    <x v="5"/>
    <n v="55"/>
    <n v="47"/>
    <n v="2"/>
    <n v="1026"/>
    <n v="720"/>
    <n v="0"/>
    <n v="0"/>
    <n v="0"/>
    <n v="0"/>
    <n v="1746"/>
    <n v="2000"/>
    <n v="2"/>
    <s v="B"/>
    <s v="FD"/>
    <s v="G"/>
    <s v="Y"/>
    <n v="0"/>
    <n v="1"/>
    <n v="0"/>
    <n v="0"/>
    <n v="1"/>
    <n v="10"/>
    <n v="441"/>
    <n v="0"/>
    <n v="441"/>
    <n v="0"/>
    <n v="0"/>
    <n v="100"/>
    <n v="0"/>
    <n v="100"/>
    <n v="100"/>
    <n v="340612"/>
    <n v="258865"/>
    <n v="74"/>
    <n v="74"/>
    <n v="0"/>
    <n v="0"/>
    <d v="2023-10-19T00:00:00"/>
    <s v="E041827"/>
    <n v="290000"/>
    <n v="290000"/>
    <s v="SWD"/>
    <n v="30"/>
    <s v="N"/>
    <s v="Y"/>
    <n v="284800"/>
    <n v="42700"/>
    <n v="242100"/>
    <n v="0"/>
    <n v="0.98206896551724143"/>
    <n v="324740.71087386482"/>
    <n v="336444.69611531514"/>
    <n v="0.1813367138880447"/>
    <n v="-11703.988000000001"/>
    <n v="87214.824999999997"/>
    <n v="87214.824999999997"/>
    <n v="-97909.509328312808"/>
    <n v="-14329.694740000001"/>
    <n v="0"/>
    <n v="10148.183649999999"/>
    <n v="70879.628934000008"/>
    <n v="44052.606"/>
    <n v="0"/>
    <n v="0"/>
    <n v="101551"/>
    <n v="25273.623"/>
    <n v="0"/>
    <n v="22349.217176999999"/>
    <n v="324740.71669268725"/>
    <n v="0"/>
    <n v="335400"/>
    <n v="-10700"/>
    <n v="324700"/>
    <n v="1.1196551724137931"/>
    <n v="0.14009831460674158"/>
    <n v="0.97570000000000001"/>
    <n v="0.98809999999999998"/>
    <n v="0.9677"/>
    <n v="0.99099999999999999"/>
    <n v="0.97289999999999999"/>
    <n v="0.92691499999999993"/>
    <n v="0.85452231525240441"/>
    <n v="334500"/>
    <n v="0"/>
    <n v="334500"/>
    <n v="-9900"/>
    <n v="324600"/>
    <n v="0.38166047087980176"/>
    <n v="-1.2318501170960188"/>
    <n v="0.13974719101123595"/>
    <n v="1.0789517655172414"/>
  </r>
  <r>
    <n v="2025"/>
    <n v="18131644430"/>
    <n v="-3.5065578973199818"/>
    <n v="0.03"/>
    <n v="1467"/>
    <n v="5"/>
    <s v="CON"/>
    <n v="3042"/>
    <x v="0"/>
    <s v="R1"/>
    <n v="11"/>
    <n v="262"/>
    <s v="CE"/>
    <s v="G"/>
    <s v="AV"/>
    <n v="1969"/>
    <n v="1977"/>
    <x v="5"/>
    <n v="55"/>
    <n v="47"/>
    <n v="2"/>
    <n v="1026"/>
    <n v="720"/>
    <n v="0"/>
    <n v="0"/>
    <n v="0"/>
    <n v="0"/>
    <n v="1746"/>
    <n v="2000"/>
    <n v="2"/>
    <s v="B"/>
    <s v="FD"/>
    <s v="E"/>
    <s v="Y"/>
    <n v="0"/>
    <n v="1"/>
    <n v="0"/>
    <n v="0"/>
    <n v="1"/>
    <n v="10"/>
    <n v="441"/>
    <n v="0"/>
    <n v="441"/>
    <n v="0"/>
    <n v="0"/>
    <n v="100"/>
    <n v="0"/>
    <n v="100"/>
    <n v="100"/>
    <n v="277828"/>
    <n v="216706"/>
    <n v="875"/>
    <n v="365"/>
    <n v="365"/>
    <n v="145"/>
    <d v="2021-08-09T00:00:00"/>
    <s v="E032618"/>
    <n v="306000"/>
    <n v="306000"/>
    <s v="SWD"/>
    <n v="30"/>
    <s v="N"/>
    <s v="Y"/>
    <n v="284800"/>
    <n v="42700"/>
    <n v="242100"/>
    <n v="0"/>
    <n v="0.93071895424836604"/>
    <n v="278846.28037953482"/>
    <n v="346592.61453751201"/>
    <n v="0.21696844992103936"/>
    <n v="-67746.340710000004"/>
    <n v="87214.824999999997"/>
    <n v="87214.824999999997"/>
    <n v="-87761.591044208326"/>
    <n v="-14329.694740000001"/>
    <n v="0"/>
    <n v="10148.183649999999"/>
    <n v="70879.628934000008"/>
    <n v="44052.606"/>
    <n v="0"/>
    <n v="0"/>
    <n v="101551"/>
    <n v="25273.623"/>
    <n v="0"/>
    <n v="22349.217176999999"/>
    <n v="278846.28226679168"/>
    <n v="0"/>
    <n v="279400"/>
    <n v="-500"/>
    <n v="278900"/>
    <n v="0.91143790849673201"/>
    <n v="-2.0716292134831459E-2"/>
    <n v="0.97570000000000001"/>
    <n v="0.98809999999999998"/>
    <n v="0.9677"/>
    <n v="0.99099999999999999"/>
    <n v="0.97289999999999999"/>
    <n v="0.92691499999999993"/>
    <n v="0.85452231525240441"/>
    <n v="334500"/>
    <n v="0"/>
    <n v="334500"/>
    <n v="-500"/>
    <n v="334000"/>
    <n v="0.38166047087980176"/>
    <n v="-1.0117096018735363"/>
    <n v="0.17275280898876405"/>
    <n v="0.87010999767973851"/>
  </r>
  <r>
    <n v="2025"/>
    <n v="18131644452"/>
    <n v="-3.2188758248682006"/>
    <n v="0.04"/>
    <n v="2211"/>
    <n v="5"/>
    <s v="CON"/>
    <n v="3042"/>
    <x v="0"/>
    <s v="R1"/>
    <n v="11"/>
    <n v="262"/>
    <s v="CE"/>
    <s v="G"/>
    <s v="GD"/>
    <n v="1969"/>
    <n v="1987"/>
    <x v="5"/>
    <n v="55"/>
    <n v="37"/>
    <n v="1"/>
    <n v="1728"/>
    <n v="0"/>
    <n v="0"/>
    <n v="0"/>
    <n v="0"/>
    <n v="0"/>
    <n v="1728"/>
    <n v="2000"/>
    <n v="2"/>
    <s v="B"/>
    <s v="FD"/>
    <s v="E"/>
    <s v="Y"/>
    <n v="0"/>
    <n v="1"/>
    <n v="0"/>
    <n v="1"/>
    <n v="0"/>
    <n v="8"/>
    <n v="483"/>
    <n v="0"/>
    <n v="483"/>
    <n v="0"/>
    <n v="0"/>
    <n v="120"/>
    <n v="0"/>
    <n v="100"/>
    <n v="100"/>
    <n v="300687"/>
    <n v="252577"/>
    <n v="472"/>
    <n v="365"/>
    <n v="107"/>
    <n v="0"/>
    <d v="2022-09-16T00:00:00"/>
    <s v="E038080"/>
    <n v="335000"/>
    <n v="335000"/>
    <s v="SWD"/>
    <n v="30"/>
    <s v="N"/>
    <s v="Y"/>
    <n v="347900"/>
    <n v="52200"/>
    <n v="295700"/>
    <n v="0"/>
    <n v="1.0385074626865671"/>
    <n v="339780.20432987239"/>
    <n v="387328.8543197026"/>
    <n v="0.11333387272119172"/>
    <n v="-47548.663578000007"/>
    <n v="87214.824999999997"/>
    <n v="87214.824999999997"/>
    <n v="-80561.528437924295"/>
    <n v="-14329.694740000001"/>
    <n v="47273.897095"/>
    <n v="10148.183649999999"/>
    <n v="119376.21715200001"/>
    <n v="0"/>
    <n v="0"/>
    <n v="0"/>
    <n v="81240.800000000003"/>
    <n v="25273.623"/>
    <n v="0"/>
    <n v="24477.714050999999"/>
    <n v="339780.19819207571"/>
    <n v="0"/>
    <n v="333100"/>
    <n v="6700"/>
    <n v="339800"/>
    <n v="1.0143283582089553"/>
    <n v="-2.3282552457602759E-2"/>
    <n v="0.97570000000000001"/>
    <n v="0.98809999999999998"/>
    <n v="0.97829999999999995"/>
    <n v="0.99099999999999999"/>
    <n v="0.97289999999999999"/>
    <n v="0.92691499999999993"/>
    <n v="0.86388258862398182"/>
    <n v="368800"/>
    <n v="0"/>
    <n v="368800"/>
    <n v="6200"/>
    <n v="375000"/>
    <n v="0.24721001014541766"/>
    <n v="-0.88122605363984674"/>
    <n v="7.7895947111238859E-2"/>
    <n v="0.9774666758865671"/>
  </r>
  <r>
    <n v="2025"/>
    <n v="18131644455"/>
    <n v="-2.9957322735539909"/>
    <n v="0.05"/>
    <n v="2211"/>
    <n v="5"/>
    <s v="CON"/>
    <n v="3042"/>
    <x v="0"/>
    <s v="R1"/>
    <n v="11"/>
    <n v="262"/>
    <s v="CE"/>
    <s v="G"/>
    <s v="GD"/>
    <n v="1969"/>
    <n v="1977"/>
    <x v="5"/>
    <n v="55"/>
    <n v="47"/>
    <n v="1"/>
    <n v="1728"/>
    <n v="0"/>
    <n v="0"/>
    <n v="0"/>
    <n v="0"/>
    <n v="0"/>
    <n v="1728"/>
    <n v="2000"/>
    <n v="2"/>
    <m/>
    <s v="FD"/>
    <s v="E"/>
    <s v="Y"/>
    <n v="0"/>
    <n v="1"/>
    <n v="0"/>
    <n v="1"/>
    <n v="0"/>
    <n v="8"/>
    <n v="483"/>
    <n v="0"/>
    <n v="483"/>
    <n v="0"/>
    <n v="0"/>
    <n v="120"/>
    <n v="0"/>
    <n v="100"/>
    <n v="100"/>
    <n v="316650"/>
    <n v="262820"/>
    <n v="693"/>
    <n v="365"/>
    <n v="328"/>
    <n v="0"/>
    <d v="2022-02-07T00:00:00"/>
    <s v="E035168"/>
    <n v="330000"/>
    <n v="330000"/>
    <s v="SWD"/>
    <n v="30"/>
    <s v="N"/>
    <s v="Y"/>
    <n v="334800"/>
    <n v="50200"/>
    <n v="284600"/>
    <n v="0"/>
    <n v="1.0145454545454546"/>
    <n v="366391.9514724848"/>
    <n v="392913.65683388547"/>
    <n v="0.17357723068663522"/>
    <n v="-26521.718912000004"/>
    <n v="87214.824999999997"/>
    <n v="87214.824999999997"/>
    <n v="-74976.725999739167"/>
    <n v="-14329.694740000001"/>
    <n v="47273.897095"/>
    <n v="10148.183649999999"/>
    <n v="119376.21715200001"/>
    <n v="0"/>
    <n v="0"/>
    <n v="0"/>
    <n v="81240.800000000003"/>
    <n v="25273.623"/>
    <n v="0"/>
    <n v="24477.714050999999"/>
    <n v="366391.94529626088"/>
    <n v="0"/>
    <n v="354200"/>
    <n v="12200"/>
    <n v="366400"/>
    <n v="1.1103030303030303"/>
    <n v="9.4384707287933092E-2"/>
    <n v="0.97570000000000001"/>
    <n v="0.98809999999999998"/>
    <n v="0.97829999999999995"/>
    <n v="0.99099999999999999"/>
    <n v="0.97289999999999999"/>
    <n v="0.92691499999999993"/>
    <n v="0.86388258862398182"/>
    <n v="368800"/>
    <n v="0"/>
    <n v="368800"/>
    <n v="11300"/>
    <n v="380100"/>
    <n v="0.29585382993675335"/>
    <n v="-0.77490039840637448"/>
    <n v="0.13530465949820789"/>
    <n v="1.0714493366303031"/>
  </r>
  <r>
    <n v="2025"/>
    <n v="18131644455"/>
    <n v="-2.9957322735539909"/>
    <n v="0.05"/>
    <n v="2211"/>
    <n v="5"/>
    <s v="CON"/>
    <n v="3042"/>
    <x v="0"/>
    <s v="R1"/>
    <n v="11"/>
    <n v="262"/>
    <s v="CE"/>
    <s v="G"/>
    <s v="GD"/>
    <n v="1969"/>
    <n v="1977"/>
    <x v="5"/>
    <n v="55"/>
    <n v="47"/>
    <n v="1"/>
    <n v="1728"/>
    <n v="0"/>
    <n v="0"/>
    <n v="0"/>
    <n v="0"/>
    <n v="0"/>
    <n v="1728"/>
    <n v="2000"/>
    <n v="2"/>
    <m/>
    <s v="FD"/>
    <s v="E"/>
    <s v="Y"/>
    <n v="0"/>
    <n v="1"/>
    <n v="0"/>
    <n v="0"/>
    <n v="0"/>
    <n v="10"/>
    <n v="483"/>
    <n v="0"/>
    <n v="483"/>
    <n v="0"/>
    <n v="0"/>
    <n v="120"/>
    <n v="0"/>
    <n v="100"/>
    <n v="100"/>
    <n v="307777"/>
    <n v="258533"/>
    <n v="1015"/>
    <n v="365"/>
    <n v="365"/>
    <n v="285"/>
    <d v="2021-03-22T00:00:00"/>
    <s v="E030552"/>
    <n v="311000"/>
    <n v="311000"/>
    <s v="SWD"/>
    <n v="30"/>
    <s v="N"/>
    <s v="Y"/>
    <n v="334800"/>
    <n v="50200"/>
    <n v="284600"/>
    <n v="0"/>
    <n v="1.0765273311897106"/>
    <n v="302275.47498325608"/>
    <n v="413223.85589240631"/>
    <n v="0.23424090768341191"/>
    <n v="-110948.38071000001"/>
    <n v="87214.824999999997"/>
    <n v="87214.824999999997"/>
    <n v="-74976.725999739167"/>
    <n v="-14329.694740000001"/>
    <n v="47273.897095"/>
    <n v="10148.183649999999"/>
    <n v="119376.21715200001"/>
    <n v="0"/>
    <n v="0"/>
    <n v="0"/>
    <n v="101551"/>
    <n v="25273.623"/>
    <n v="0"/>
    <n v="24477.714050999999"/>
    <n v="302275.48349826084"/>
    <n v="0"/>
    <n v="290000"/>
    <n v="12200"/>
    <n v="302200"/>
    <n v="0.9717041800643087"/>
    <n v="-9.7371565113500591E-2"/>
    <n v="0.97570000000000001"/>
    <n v="0.98809999999999998"/>
    <n v="0.97829999999999995"/>
    <n v="0.99099999999999999"/>
    <n v="0.97289999999999999"/>
    <n v="0.92691499999999993"/>
    <n v="0.86388258862398182"/>
    <n v="389100"/>
    <n v="0"/>
    <n v="389100"/>
    <n v="11300"/>
    <n v="400400"/>
    <n v="0.36718200983836963"/>
    <n v="-0.77490039840637448"/>
    <n v="0.1959378733572282"/>
    <n v="0.93071260221864949"/>
  </r>
  <r>
    <n v="2025"/>
    <n v="18131644438"/>
    <n v="-3.5065578973199818"/>
    <n v="0.03"/>
    <n v="1467"/>
    <n v="5"/>
    <s v="CON"/>
    <n v="3042"/>
    <x v="0"/>
    <s v="R1"/>
    <n v="11"/>
    <n v="262"/>
    <s v="CE"/>
    <s v="G"/>
    <s v="GD"/>
    <n v="1969"/>
    <n v="1977"/>
    <x v="5"/>
    <n v="55"/>
    <n v="47"/>
    <n v="2"/>
    <n v="1026"/>
    <n v="720"/>
    <n v="0"/>
    <n v="0"/>
    <n v="0"/>
    <n v="0"/>
    <n v="1746"/>
    <n v="2000"/>
    <n v="2"/>
    <s v="B"/>
    <s v="FD"/>
    <s v="G"/>
    <s v="Y"/>
    <n v="0"/>
    <n v="1"/>
    <n v="0"/>
    <n v="1"/>
    <n v="1"/>
    <n v="10"/>
    <n v="441"/>
    <n v="0"/>
    <n v="441"/>
    <n v="0"/>
    <n v="0"/>
    <n v="100"/>
    <n v="0"/>
    <n v="100"/>
    <n v="100"/>
    <n v="270216"/>
    <n v="210768"/>
    <n v="976"/>
    <n v="365"/>
    <n v="365"/>
    <n v="246"/>
    <d v="2021-04-30T00:00:00"/>
    <s v="E031098"/>
    <n v="262000"/>
    <n v="262000"/>
    <s v="SWD"/>
    <n v="30"/>
    <s v="N"/>
    <s v="Y"/>
    <n v="307200"/>
    <n v="46100"/>
    <n v="261100"/>
    <n v="0"/>
    <n v="1.1725190839694657"/>
    <n v="294952.98660387378"/>
    <n v="393866.51163234009"/>
    <n v="0.28211755088652374"/>
    <n v="-98913.526710000006"/>
    <n v="87214.824999999997"/>
    <n v="87214.824999999997"/>
    <n v="-87761.591044208326"/>
    <n v="-14329.694740000001"/>
    <n v="47273.897095"/>
    <n v="10148.183649999999"/>
    <n v="70879.628934000008"/>
    <n v="44052.606"/>
    <n v="0"/>
    <n v="0"/>
    <n v="101551"/>
    <n v="25273.623"/>
    <n v="0"/>
    <n v="22349.217176999999"/>
    <n v="294952.99336179171"/>
    <n v="0"/>
    <n v="295500"/>
    <n v="-500"/>
    <n v="295000"/>
    <n v="1.1259541984732824"/>
    <n v="-3.9713541666666664E-2"/>
    <n v="0.97570000000000001"/>
    <n v="0.98809999999999998"/>
    <n v="0.97829999999999995"/>
    <n v="0.99099999999999999"/>
    <n v="0.97289999999999999"/>
    <n v="0.92691499999999993"/>
    <n v="0.86388258862398182"/>
    <n v="382500"/>
    <n v="0"/>
    <n v="382500"/>
    <n v="-500"/>
    <n v="382000"/>
    <n v="0.46495595557257757"/>
    <n v="-1.0108459869848156"/>
    <n v="0.24348958333333334"/>
    <n v="1.0804827224809159"/>
  </r>
  <r>
    <n v="2025"/>
    <n v="18131532464"/>
    <n v="-1.4696759700589417"/>
    <n v="0.23"/>
    <n v="0"/>
    <n v="5"/>
    <s v="RES"/>
    <n v="3041"/>
    <x v="0"/>
    <s v="R1"/>
    <n v="11"/>
    <n v="259"/>
    <s v="RN"/>
    <s v="G"/>
    <s v="AV"/>
    <n v="1968"/>
    <n v="1977"/>
    <x v="5"/>
    <n v="56"/>
    <n v="47"/>
    <n v="1"/>
    <n v="1556"/>
    <n v="0"/>
    <n v="0"/>
    <n v="0"/>
    <n v="0"/>
    <n v="0"/>
    <n v="1556"/>
    <n v="2000"/>
    <n v="2"/>
    <s v="B"/>
    <s v="FD"/>
    <s v="G"/>
    <s v="Y"/>
    <n v="0"/>
    <n v="1"/>
    <n v="0"/>
    <n v="1"/>
    <n v="0"/>
    <n v="8"/>
    <n v="528"/>
    <n v="0"/>
    <n v="528"/>
    <n v="0"/>
    <n v="0"/>
    <n v="0"/>
    <n v="0"/>
    <n v="100"/>
    <n v="100"/>
    <n v="323266"/>
    <n v="245682"/>
    <n v="753"/>
    <n v="365"/>
    <n v="365"/>
    <n v="23"/>
    <d v="2021-12-09T00:00:00"/>
    <s v="E034378"/>
    <n v="350000"/>
    <n v="350000"/>
    <s v="SWD"/>
    <n v="30"/>
    <s v="N"/>
    <s v="Y"/>
    <n v="354800"/>
    <n v="77000"/>
    <n v="277800"/>
    <n v="0"/>
    <n v="1.0137142857142858"/>
    <n v="344317.51599844644"/>
    <n v="374416.3522732585"/>
    <n v="5.5288478785959688E-2"/>
    <n v="-30098.848710000002"/>
    <n v="87214.824999999997"/>
    <n v="87214.824999999997"/>
    <n v="-36782.823848535809"/>
    <n v="-14329.694740000001"/>
    <n v="0"/>
    <n v="10332.69608"/>
    <n v="107493.862204"/>
    <n v="0"/>
    <n v="0"/>
    <n v="0"/>
    <n v="81240.800000000003"/>
    <n v="25273.623"/>
    <n v="0"/>
    <n v="26758.246416000002"/>
    <n v="344317.51040146418"/>
    <n v="0"/>
    <n v="293900"/>
    <n v="50400"/>
    <n v="344300"/>
    <n v="0.98371428571428576"/>
    <n v="-2.9594137542277341E-2"/>
    <n v="0.97570000000000001"/>
    <n v="0.98809999999999998"/>
    <n v="0.9677"/>
    <n v="0.99099999999999999"/>
    <n v="0.97289999999999999"/>
    <n v="0.92691499999999993"/>
    <n v="0.85452231525240441"/>
    <n v="311300"/>
    <n v="0"/>
    <n v="311300"/>
    <n v="46700"/>
    <n v="358000"/>
    <n v="0.12059035277177826"/>
    <n v="-0.39350649350649353"/>
    <n v="9.0191657271702363E-3"/>
    <n v="0.93686043225714288"/>
  </r>
  <r>
    <n v="2025"/>
    <n v="18131533413"/>
    <n v="-1.6607312068216509"/>
    <n v="0.19"/>
    <n v="8256"/>
    <n v="5"/>
    <s v="RES"/>
    <n v="3042"/>
    <x v="0"/>
    <s v="R1"/>
    <n v="11"/>
    <n v="259"/>
    <s v="CO"/>
    <s v="G"/>
    <s v="AV"/>
    <n v="1968"/>
    <n v="1977"/>
    <x v="5"/>
    <n v="56"/>
    <n v="47"/>
    <n v="2"/>
    <n v="1282"/>
    <n v="456"/>
    <n v="0"/>
    <n v="0"/>
    <n v="0"/>
    <n v="0"/>
    <n v="1738"/>
    <n v="2000"/>
    <n v="2"/>
    <s v="S"/>
    <s v="FD"/>
    <s v="G"/>
    <s v="Y"/>
    <n v="0"/>
    <n v="2"/>
    <n v="0"/>
    <n v="0"/>
    <n v="1"/>
    <n v="7"/>
    <n v="440"/>
    <n v="0"/>
    <n v="440"/>
    <n v="0"/>
    <n v="132"/>
    <n v="552"/>
    <n v="0"/>
    <n v="100"/>
    <n v="100"/>
    <n v="340653"/>
    <n v="258896"/>
    <n v="199"/>
    <n v="199"/>
    <n v="0"/>
    <n v="0"/>
    <d v="2023-06-16T00:00:00"/>
    <s v="E040559"/>
    <n v="405000"/>
    <n v="405000"/>
    <s v="SWD"/>
    <n v="30"/>
    <s v="N"/>
    <s v="Y"/>
    <n v="375000"/>
    <n v="66200"/>
    <n v="308800"/>
    <n v="0"/>
    <n v="0.92592592592592593"/>
    <n v="357790.35248173279"/>
    <n v="389264.58306347072"/>
    <n v="3.8038888169255262E-2"/>
    <n v="-31474.238000000001"/>
    <n v="87214.824999999997"/>
    <n v="87214.824999999997"/>
    <n v="-41564.524891726433"/>
    <n v="-14329.694740000001"/>
    <n v="0"/>
    <n v="10332.69608"/>
    <n v="88564.994438000009"/>
    <n v="27899.983800000002"/>
    <n v="0"/>
    <n v="0"/>
    <n v="71085.7"/>
    <n v="50547.245999999999"/>
    <n v="0"/>
    <n v="22298.538680000001"/>
    <n v="357790.35136627353"/>
    <n v="0"/>
    <n v="312100"/>
    <n v="45700"/>
    <n v="357800"/>
    <n v="0.88345679012345679"/>
    <n v="-4.5866666666666667E-2"/>
    <n v="0.97570000000000001"/>
    <n v="0.98809999999999998"/>
    <n v="0.9677"/>
    <n v="0.99099999999999999"/>
    <n v="0.97289999999999999"/>
    <n v="0.92691499999999993"/>
    <n v="0.85452231525240441"/>
    <n v="330900"/>
    <n v="0"/>
    <n v="330900"/>
    <n v="42300"/>
    <n v="373200"/>
    <n v="7.1567357512953372E-2"/>
    <n v="-0.36102719033232628"/>
    <n v="-4.7999999999999996E-3"/>
    <n v="0.84376731358024692"/>
  </r>
  <r>
    <n v="2025"/>
    <n v="18131644538"/>
    <n v="-1.2039728043259361"/>
    <n v="0.3"/>
    <n v="12987"/>
    <n v="5"/>
    <s v="RES"/>
    <n v="3042"/>
    <x v="0"/>
    <s v="R1"/>
    <n v="11"/>
    <n v="259"/>
    <s v="RN"/>
    <s v="G"/>
    <s v="AV"/>
    <n v="1968"/>
    <n v="1977"/>
    <x v="5"/>
    <n v="56"/>
    <n v="47"/>
    <n v="1"/>
    <n v="1528"/>
    <n v="0"/>
    <n v="0"/>
    <n v="1528"/>
    <n v="1154"/>
    <n v="374"/>
    <n v="2682"/>
    <n v="3000"/>
    <n v="2"/>
    <s v="B"/>
    <s v="FD"/>
    <s v="G"/>
    <s v="Y"/>
    <n v="0"/>
    <n v="2"/>
    <n v="0"/>
    <n v="2"/>
    <n v="0"/>
    <n v="12"/>
    <n v="552"/>
    <n v="0"/>
    <n v="552"/>
    <n v="0"/>
    <n v="248"/>
    <n v="339"/>
    <n v="0"/>
    <n v="100"/>
    <n v="100"/>
    <n v="479682"/>
    <n v="364558"/>
    <n v="796"/>
    <n v="365"/>
    <n v="365"/>
    <n v="66"/>
    <d v="2021-10-27T00:00:00"/>
    <s v="E033786"/>
    <n v="467500"/>
    <n v="441986"/>
    <s v="SWD"/>
    <n v="30"/>
    <s v="N"/>
    <s v="Y"/>
    <n v="452300"/>
    <n v="92100"/>
    <n v="360200"/>
    <n v="25514"/>
    <n v="0.96748663101604282"/>
    <n v="446588.29220786167"/>
    <n v="489956.32855624828"/>
    <n v="8.3255203529180366E-2"/>
    <n v="-43368.046710000002"/>
    <n v="87214.824999999997"/>
    <n v="87214.824999999997"/>
    <n v="-30132.845934857665"/>
    <n v="-14329.694740000001"/>
    <n v="0"/>
    <n v="10332.69608"/>
    <n v="105559.52535200001"/>
    <n v="0"/>
    <n v="0"/>
    <n v="43714.029424"/>
    <n v="121861.20000000001"/>
    <n v="50547.245999999999"/>
    <n v="0"/>
    <n v="27974.530343999999"/>
    <n v="446588.28981514229"/>
    <n v="25500"/>
    <n v="389500"/>
    <n v="57100"/>
    <n v="472100"/>
    <n v="1.0098395721925133"/>
    <n v="4.3776254698209151E-2"/>
    <n v="0.97570000000000001"/>
    <n v="0.98809999999999998"/>
    <n v="0.9677"/>
    <n v="0.93310000000000004"/>
    <n v="0.97289999999999999"/>
    <n v="0.92691499999999993"/>
    <n v="0.80459613760042237"/>
    <n v="415800"/>
    <n v="23600"/>
    <n v="439400"/>
    <n v="52900"/>
    <n v="492300"/>
    <n v="0.21987784564131038"/>
    <n v="-0.42562432138979372"/>
    <n v="8.8436878178200312E-2"/>
    <n v="0.96028225302673786"/>
  </r>
  <r>
    <n v="2025"/>
    <n v="18131532520"/>
    <n v="-0.82098055206983023"/>
    <n v="0.44"/>
    <n v="18985"/>
    <n v="5"/>
    <s v="RES"/>
    <n v="3041"/>
    <x v="0"/>
    <s v="R1"/>
    <n v="11"/>
    <n v="259"/>
    <s v="CU"/>
    <s v="V"/>
    <s v="VG"/>
    <n v="1968"/>
    <n v="1977"/>
    <x v="5"/>
    <n v="56"/>
    <n v="47"/>
    <n v="1"/>
    <n v="3129"/>
    <n v="0"/>
    <n v="0"/>
    <n v="400"/>
    <n v="396"/>
    <n v="4"/>
    <n v="3525"/>
    <n v="4000"/>
    <n v="2"/>
    <s v="S"/>
    <s v="FD"/>
    <s v="G"/>
    <s v="Y"/>
    <n v="0"/>
    <n v="2"/>
    <n v="0"/>
    <n v="1"/>
    <n v="0"/>
    <n v="16"/>
    <n v="0"/>
    <n v="462"/>
    <n v="462"/>
    <n v="0"/>
    <n v="938"/>
    <n v="0"/>
    <n v="384"/>
    <n v="100"/>
    <n v="100"/>
    <n v="750773"/>
    <n v="653173"/>
    <n v="1082"/>
    <n v="365"/>
    <n v="365"/>
    <n v="352"/>
    <d v="2021-01-14T00:00:00"/>
    <s v="E029772"/>
    <n v="800000"/>
    <n v="772949"/>
    <s v="SWD"/>
    <n v="30"/>
    <s v="N"/>
    <s v="Y"/>
    <n v="775400"/>
    <n v="113900"/>
    <n v="661500"/>
    <n v="27051"/>
    <n v="0.96924999999999994"/>
    <n v="649919.14679413056"/>
    <n v="781542.79293419921"/>
    <n v="7.9220956076853401E-3"/>
    <n v="-131623.64270999999"/>
    <n v="87214.824999999997"/>
    <n v="87214.824999999997"/>
    <n v="-20547.374826198695"/>
    <n v="46722.525125"/>
    <n v="106557.38887"/>
    <n v="10332.69608"/>
    <n v="216162.14321100002"/>
    <n v="0"/>
    <n v="0"/>
    <n v="11443.4632"/>
    <n v="162481.60000000001"/>
    <n v="50547.245999999999"/>
    <n v="0"/>
    <n v="23413.465614000001"/>
    <n v="649919.1605638013"/>
    <n v="27100"/>
    <n v="583300"/>
    <n v="66700"/>
    <n v="677100"/>
    <n v="0.84637499999999999"/>
    <n v="-0.12677327830797008"/>
    <n v="0.97570000000000001"/>
    <n v="0.98329999999999995"/>
    <n v="0.9748"/>
    <n v="1.034"/>
    <n v="0.97289999999999999"/>
    <n v="0.92691499999999993"/>
    <n v="0.8937791352738812"/>
    <n v="705600"/>
    <n v="25100"/>
    <n v="730700"/>
    <n v="61800"/>
    <n v="792500"/>
    <n v="0.10461073318216176"/>
    <n v="-0.45741878841088673"/>
    <n v="2.2053133866391541E-2"/>
    <n v="0.8260954466124999"/>
  </r>
  <r>
    <n v="2025"/>
    <n v="18131532498"/>
    <n v="-1.3093333199837622"/>
    <n v="0.27"/>
    <n v="11637"/>
    <n v="5"/>
    <s v="RES"/>
    <n v="3041"/>
    <x v="0"/>
    <s v="R1"/>
    <n v="11"/>
    <n v="259"/>
    <s v="RN"/>
    <s v="G"/>
    <s v="AV"/>
    <n v="1967"/>
    <n v="1976"/>
    <x v="5"/>
    <n v="57"/>
    <n v="48"/>
    <n v="1"/>
    <n v="2141"/>
    <n v="0"/>
    <n v="0"/>
    <n v="705"/>
    <n v="705"/>
    <n v="0"/>
    <n v="2846"/>
    <n v="3000"/>
    <n v="2"/>
    <m/>
    <s v="FD"/>
    <s v="G"/>
    <s v="Y"/>
    <n v="0"/>
    <n v="3"/>
    <n v="0"/>
    <n v="1"/>
    <n v="1"/>
    <n v="14"/>
    <n v="470"/>
    <n v="0"/>
    <n v="470"/>
    <n v="0"/>
    <n v="0"/>
    <n v="252"/>
    <n v="0"/>
    <n v="100"/>
    <n v="100"/>
    <n v="517018"/>
    <n v="382593"/>
    <n v="805"/>
    <n v="365"/>
    <n v="365"/>
    <n v="75"/>
    <d v="2021-10-18T00:00:00"/>
    <s v="E033730"/>
    <n v="475000"/>
    <n v="475000"/>
    <s v="SWD"/>
    <n v="30"/>
    <s v="N"/>
    <s v="Y"/>
    <n v="458100"/>
    <n v="86200"/>
    <n v="371900"/>
    <n v="0"/>
    <n v="0.96442105263157896"/>
    <n v="501590.00328727439"/>
    <n v="547735.31406966504"/>
    <n v="0.19566757055154996"/>
    <n v="-46145.32071"/>
    <n v="87214.824999999997"/>
    <n v="87214.824999999997"/>
    <n v="-32769.792695222328"/>
    <n v="-14329.694740000001"/>
    <n v="0"/>
    <n v="10517.20851"/>
    <n v="147907.685719"/>
    <n v="0"/>
    <n v="0"/>
    <n v="20169.103889999999"/>
    <n v="142171.4"/>
    <n v="75820.869000000006"/>
    <n v="0"/>
    <n v="23818.89359"/>
    <n v="501590.00256377767"/>
    <n v="0"/>
    <n v="447100"/>
    <n v="54400"/>
    <n v="501500"/>
    <n v="1.0557894736842106"/>
    <n v="9.4739139925780397E-2"/>
    <n v="0.97570000000000001"/>
    <n v="0.98809999999999998"/>
    <n v="0.9677"/>
    <n v="0.93310000000000004"/>
    <n v="0.97289999999999999"/>
    <n v="0.92691499999999993"/>
    <n v="0.80459613760042237"/>
    <n v="476200"/>
    <n v="0"/>
    <n v="476200"/>
    <n v="50500"/>
    <n v="526700"/>
    <n v="0.2804517343371874"/>
    <n v="-0.41415313225058004"/>
    <n v="0.14974896310849159"/>
    <n v="1.0116940616631578"/>
  </r>
  <r>
    <n v="2025"/>
    <n v="18131532462"/>
    <n v="-1.1711829815029451"/>
    <n v="0.31"/>
    <n v="13636"/>
    <n v="5"/>
    <s v="RES"/>
    <n v="3041"/>
    <x v="0"/>
    <s v="R1"/>
    <n v="11"/>
    <n v="259"/>
    <s v="RN"/>
    <s v="G+"/>
    <s v="AV"/>
    <n v="1967"/>
    <n v="1976"/>
    <x v="5"/>
    <n v="57"/>
    <n v="48"/>
    <n v="1"/>
    <n v="2361"/>
    <n v="0"/>
    <n v="0"/>
    <n v="1050"/>
    <n v="1050"/>
    <n v="0"/>
    <n v="3411"/>
    <n v="3500"/>
    <n v="2"/>
    <s v="B"/>
    <s v="FD"/>
    <s v="G"/>
    <s v="Y"/>
    <n v="0"/>
    <n v="2"/>
    <n v="0"/>
    <n v="1"/>
    <n v="1"/>
    <n v="14"/>
    <n v="541"/>
    <n v="0"/>
    <n v="541"/>
    <n v="0"/>
    <n v="0"/>
    <n v="510"/>
    <n v="0"/>
    <n v="100"/>
    <n v="100"/>
    <n v="645317"/>
    <n v="490441"/>
    <n v="965"/>
    <n v="365"/>
    <n v="365"/>
    <n v="235"/>
    <d v="2021-05-11T00:00:00"/>
    <s v="E031154"/>
    <n v="479000"/>
    <n v="453329"/>
    <s v="SWD"/>
    <n v="30"/>
    <s v="N"/>
    <s v="Y"/>
    <n v="576000"/>
    <n v="94000"/>
    <n v="482000"/>
    <n v="25671"/>
    <n v="1.2025052192066805"/>
    <n v="492585.88441262429"/>
    <n v="588104.96291064122"/>
    <n v="2.1015560608752114E-2"/>
    <n v="-95519.080710000009"/>
    <n v="87214.824999999997"/>
    <n v="87214.824999999997"/>
    <n v="-29312.187298876561"/>
    <n v="19189.450408000001"/>
    <n v="0"/>
    <n v="10517.20851"/>
    <n v="163106.046699"/>
    <n v="0"/>
    <n v="0"/>
    <n v="30039.090899999999"/>
    <n v="142171.4"/>
    <n v="50547.245999999999"/>
    <n v="0"/>
    <n v="27417.066877000001"/>
    <n v="492585.89138512337"/>
    <n v="25700"/>
    <n v="434700"/>
    <n v="57900"/>
    <n v="518300"/>
    <n v="1.0820459290187892"/>
    <n v="-0.10017361111111112"/>
    <n v="0.97570000000000001"/>
    <n v="0.9819"/>
    <n v="0.9677"/>
    <n v="0.99619999999999997"/>
    <n v="0.97289999999999999"/>
    <n v="0.92691499999999993"/>
    <n v="0.85361620702425445"/>
    <n v="517400"/>
    <n v="23800"/>
    <n v="541200"/>
    <n v="53700"/>
    <n v="594900"/>
    <n v="0.12282157676348547"/>
    <n v="-0.42872340425531913"/>
    <n v="3.2812500000000001E-2"/>
    <n v="1.0425488920459289"/>
  </r>
  <r>
    <n v="2025"/>
    <n v="18131532462"/>
    <n v="-1.1711829815029451"/>
    <n v="0.31"/>
    <n v="13636"/>
    <n v="5"/>
    <s v="RES"/>
    <n v="3041"/>
    <x v="0"/>
    <s v="R1"/>
    <n v="11"/>
    <n v="259"/>
    <s v="RN"/>
    <s v="G+"/>
    <s v="GD"/>
    <n v="1967"/>
    <n v="1976"/>
    <x v="5"/>
    <n v="57"/>
    <n v="48"/>
    <n v="1"/>
    <n v="2361"/>
    <n v="0"/>
    <n v="0"/>
    <n v="1050"/>
    <n v="1050"/>
    <n v="0"/>
    <n v="3411"/>
    <n v="3500"/>
    <n v="2"/>
    <s v="B"/>
    <s v="FD"/>
    <s v="G"/>
    <s v="Y"/>
    <n v="0"/>
    <n v="2"/>
    <n v="0"/>
    <n v="1"/>
    <n v="1"/>
    <n v="14"/>
    <n v="541"/>
    <n v="0"/>
    <n v="541"/>
    <n v="0"/>
    <n v="0"/>
    <n v="510"/>
    <n v="0"/>
    <n v="100"/>
    <n v="100"/>
    <n v="645317"/>
    <n v="529160"/>
    <n v="437"/>
    <n v="365"/>
    <n v="72"/>
    <n v="0"/>
    <d v="2022-10-21T00:00:00"/>
    <s v="E038634"/>
    <n v="555000"/>
    <n v="529329"/>
    <s v="SWD"/>
    <n v="30"/>
    <s v="N"/>
    <s v="Y"/>
    <n v="576000"/>
    <n v="94000"/>
    <n v="482000"/>
    <n v="25671"/>
    <n v="1.0378378378378379"/>
    <n v="584500.15091158915"/>
    <n v="635378.86000546929"/>
    <n v="0.10308829862060641"/>
    <n v="-50878.722688000002"/>
    <n v="87214.824999999997"/>
    <n v="87214.824999999997"/>
    <n v="-29312.187298876561"/>
    <n v="19189.450408000001"/>
    <n v="47273.897095"/>
    <n v="10517.20851"/>
    <n v="163106.046699"/>
    <n v="0"/>
    <n v="0"/>
    <n v="30039.090899999999"/>
    <n v="142171.4"/>
    <n v="50547.245999999999"/>
    <n v="0"/>
    <n v="27417.066877000001"/>
    <n v="584500.14650212345"/>
    <n v="25700"/>
    <n v="526600"/>
    <n v="57900"/>
    <n v="610200"/>
    <n v="1.0994594594594596"/>
    <n v="5.9374999999999997E-2"/>
    <n v="0.97570000000000001"/>
    <n v="0.9819"/>
    <n v="0.97829999999999995"/>
    <n v="0.99619999999999997"/>
    <n v="0.97289999999999999"/>
    <n v="0.92691499999999993"/>
    <n v="0.86296655506027509"/>
    <n v="565500"/>
    <n v="23800"/>
    <n v="589300"/>
    <n v="53700"/>
    <n v="643000"/>
    <n v="0.22261410788381741"/>
    <n v="-0.42872340425531913"/>
    <n v="0.11631944444444445"/>
    <n v="1.0668851843459459"/>
  </r>
  <r>
    <n v="2025"/>
    <n v="18131923412"/>
    <n v="0.28517894223366247"/>
    <n v="1.33"/>
    <n v="57817"/>
    <n v="1"/>
    <s v="RES"/>
    <s v="HE"/>
    <x v="0"/>
    <s v="R1"/>
    <n v="11"/>
    <n v="259"/>
    <s v="CO"/>
    <s v="G+"/>
    <s v="GD"/>
    <n v="1967"/>
    <n v="1996"/>
    <x v="5"/>
    <n v="57"/>
    <n v="28"/>
    <n v="2"/>
    <n v="1914"/>
    <n v="1380"/>
    <n v="0"/>
    <n v="1830"/>
    <n v="604"/>
    <n v="1226"/>
    <n v="3898"/>
    <n v="4000"/>
    <n v="2"/>
    <m/>
    <s v="HP"/>
    <s v="E"/>
    <s v="N"/>
    <n v="0"/>
    <n v="1"/>
    <n v="0"/>
    <n v="2"/>
    <n v="0"/>
    <n v="13"/>
    <n v="792"/>
    <n v="0"/>
    <n v="792"/>
    <n v="0"/>
    <n v="0"/>
    <n v="84"/>
    <n v="84"/>
    <n v="100"/>
    <n v="100"/>
    <n v="713727"/>
    <n v="656629"/>
    <n v="482"/>
    <n v="365"/>
    <n v="117"/>
    <n v="0"/>
    <d v="2022-09-06T00:00:00"/>
    <s v="E037979"/>
    <n v="725000"/>
    <n v="699309"/>
    <s v="SWD"/>
    <n v="30"/>
    <s v="N"/>
    <s v="Y"/>
    <n v="646600"/>
    <n v="176700"/>
    <n v="469900"/>
    <n v="25691"/>
    <n v="0.89186206896551723"/>
    <n v="678391.44678266719"/>
    <n v="724988.65131419734"/>
    <n v="0.12123206203865967"/>
    <n v="-46597.218118000004"/>
    <n v="87214.824999999997"/>
    <n v="87214.824999999997"/>
    <n v="7137.4146486670006"/>
    <n v="19189.450408000001"/>
    <n v="47273.897095"/>
    <n v="10517.20851"/>
    <n v="132225.74052600001"/>
    <n v="84434.161500000002"/>
    <n v="0"/>
    <n v="52353.844139999994"/>
    <n v="132016.30000000002"/>
    <n v="25273.623"/>
    <n v="0"/>
    <n v="40137.369623999999"/>
    <n v="678391.44133366703"/>
    <n v="25700"/>
    <n v="584000"/>
    <n v="94400"/>
    <n v="704100"/>
    <n v="0.97117241379310348"/>
    <n v="8.8926693473553975E-2"/>
    <n v="0.97570000000000001"/>
    <n v="0.9819"/>
    <n v="0.97829999999999995"/>
    <n v="1.034"/>
    <n v="0.97289999999999999"/>
    <n v="0.92691499999999993"/>
    <n v="0.89571112018904275"/>
    <n v="621500"/>
    <n v="23800"/>
    <n v="645300"/>
    <n v="87500"/>
    <n v="732800"/>
    <n v="0.37327090870397955"/>
    <n v="-0.50481041312959818"/>
    <n v="0.13331271265078873"/>
    <n v="0.94648659569931037"/>
  </r>
  <r>
    <n v="2025"/>
    <n v="18131523005"/>
    <n v="-1.2039728043259361"/>
    <n v="0.3"/>
    <n v="13098"/>
    <n v="5"/>
    <s v="RES"/>
    <n v="3041"/>
    <x v="0"/>
    <s v="R1"/>
    <n v="11"/>
    <n v="130"/>
    <s v="RN"/>
    <s v="G+"/>
    <s v="VG"/>
    <n v="1967"/>
    <n v="1976"/>
    <x v="5"/>
    <n v="57"/>
    <n v="48"/>
    <n v="1"/>
    <n v="2523"/>
    <n v="0"/>
    <n v="0"/>
    <n v="0"/>
    <n v="0"/>
    <n v="0"/>
    <n v="2523"/>
    <n v="3000"/>
    <n v="2"/>
    <s v="B"/>
    <s v="HP"/>
    <s v="E"/>
    <m/>
    <n v="0"/>
    <n v="2"/>
    <n v="0"/>
    <n v="1"/>
    <n v="1"/>
    <n v="12"/>
    <n v="600"/>
    <n v="0"/>
    <n v="600"/>
    <n v="0"/>
    <n v="0"/>
    <n v="0"/>
    <n v="0"/>
    <n v="100"/>
    <n v="100"/>
    <n v="579905"/>
    <n v="492919"/>
    <n v="1014"/>
    <n v="365"/>
    <n v="365"/>
    <n v="284"/>
    <d v="2021-03-23T00:00:00"/>
    <s v="E030621"/>
    <n v="523800"/>
    <n v="523800"/>
    <s v="SWD"/>
    <n v="30"/>
    <s v="N"/>
    <s v="Y"/>
    <n v="604000"/>
    <n v="92100"/>
    <n v="511900"/>
    <n v="0"/>
    <n v="1.1531118747613593"/>
    <n v="547034.15957791836"/>
    <n v="657673.95443884586"/>
    <n v="8.8864162978221625E-2"/>
    <n v="-110639.79471"/>
    <n v="87214.824999999997"/>
    <n v="87214.824999999997"/>
    <n v="-30132.845934857665"/>
    <n v="19189.450408000001"/>
    <n v="106557.38887"/>
    <n v="10517.20851"/>
    <n v="174297.56705700001"/>
    <n v="0"/>
    <n v="0"/>
    <n v="0"/>
    <n v="121861.20000000001"/>
    <n v="50547.245999999999"/>
    <n v="0"/>
    <n v="30407.0982"/>
    <n v="547034.16840014234"/>
    <n v="0"/>
    <n v="490000"/>
    <n v="57100"/>
    <n v="547100"/>
    <n v="1.0444826269568537"/>
    <n v="-9.4205298013245037E-2"/>
    <n v="0.97570000000000001"/>
    <n v="0.9819"/>
    <n v="0.9748"/>
    <n v="0.93310000000000004"/>
    <n v="0.97289999999999999"/>
    <n v="0.92691499999999993"/>
    <n v="0.80541383167830538"/>
    <n v="583600"/>
    <n v="0"/>
    <n v="583600"/>
    <n v="52900"/>
    <n v="636500"/>
    <n v="0.1400664192225044"/>
    <n v="-0.42562432138979372"/>
    <n v="5.3807947019867547E-2"/>
    <n v="1.0039331907025582"/>
  </r>
  <r>
    <n v="2025"/>
    <n v="18131533414"/>
    <n v="-1.6094379124341003"/>
    <n v="0.2"/>
    <n v="8756"/>
    <n v="5"/>
    <s v="RES"/>
    <n v="3042"/>
    <x v="0"/>
    <s v="R1"/>
    <n v="11"/>
    <n v="259"/>
    <s v="RN"/>
    <s v="A"/>
    <s v="GD"/>
    <n v="1966"/>
    <n v="1976"/>
    <x v="5"/>
    <n v="58"/>
    <n v="48"/>
    <n v="1"/>
    <n v="1586"/>
    <n v="0"/>
    <n v="0"/>
    <n v="0"/>
    <n v="0"/>
    <n v="0"/>
    <n v="1586"/>
    <n v="2000"/>
    <n v="1"/>
    <s v="B"/>
    <s v="FD"/>
    <s v="G"/>
    <s v="Y"/>
    <n v="0"/>
    <n v="1"/>
    <n v="0"/>
    <n v="0"/>
    <n v="1"/>
    <n v="7"/>
    <n v="336"/>
    <n v="0"/>
    <n v="336"/>
    <n v="0"/>
    <n v="0"/>
    <n v="192"/>
    <n v="312"/>
    <n v="100"/>
    <n v="100"/>
    <n v="244556"/>
    <n v="198090"/>
    <n v="1053"/>
    <n v="365"/>
    <n v="365"/>
    <n v="323"/>
    <d v="2021-02-12T00:00:00"/>
    <s v="E030134"/>
    <n v="320000"/>
    <n v="320000"/>
    <s v="SWD"/>
    <n v="30"/>
    <s v="N"/>
    <s v="Y"/>
    <n v="363500"/>
    <n v="69100"/>
    <n v="294400"/>
    <n v="0"/>
    <n v="1.1359375"/>
    <n v="292403.5106588442"/>
    <n v="415078.16140045575"/>
    <n v="0.14189315378392228"/>
    <n v="-122674.64871000001"/>
    <n v="87214.824999999997"/>
    <n v="87214.824999999997"/>
    <n v="-40280.764218962147"/>
    <n v="0"/>
    <n v="47273.897095"/>
    <n v="10701.720939999999"/>
    <n v="109566.36597400001"/>
    <n v="0"/>
    <n v="0"/>
    <n v="0"/>
    <n v="71085.7"/>
    <n v="25273.623"/>
    <n v="0"/>
    <n v="17027.974991999999"/>
    <n v="292403.51907203783"/>
    <n v="0"/>
    <n v="245500"/>
    <n v="46900"/>
    <n v="292400"/>
    <n v="0.91374999999999995"/>
    <n v="-0.19559834938101789"/>
    <n v="0.97570000000000001"/>
    <n v="1.0046999999999999"/>
    <n v="0.97829999999999995"/>
    <n v="0.99099999999999999"/>
    <n v="0.97289999999999999"/>
    <n v="0.92691499999999993"/>
    <n v="0.87839574616993676"/>
    <n v="357500"/>
    <n v="0"/>
    <n v="357500"/>
    <n v="43500"/>
    <n v="401000"/>
    <n v="0.21433423913043478"/>
    <n v="-0.37047756874095511"/>
    <n v="0.1031636863823934"/>
    <n v="0.86976672278125011"/>
  </r>
  <r>
    <n v="2025"/>
    <n v="18131634438"/>
    <n v="-1.0216512475319814"/>
    <n v="0.36"/>
    <n v="15887"/>
    <n v="5"/>
    <s v="RES"/>
    <n v="3041"/>
    <x v="0"/>
    <s v="R1"/>
    <n v="11"/>
    <n v="259"/>
    <s v="RN"/>
    <s v="G+"/>
    <s v="GD"/>
    <n v="1966"/>
    <n v="1976"/>
    <x v="5"/>
    <n v="58"/>
    <n v="48"/>
    <n v="1"/>
    <n v="2306"/>
    <n v="0"/>
    <n v="0"/>
    <n v="1190"/>
    <n v="714"/>
    <n v="476"/>
    <n v="3020"/>
    <n v="3500"/>
    <n v="2"/>
    <s v="S"/>
    <s v="FD"/>
    <s v="G"/>
    <s v="Y"/>
    <n v="0"/>
    <n v="3"/>
    <n v="0"/>
    <n v="2"/>
    <n v="1"/>
    <n v="13"/>
    <n v="506"/>
    <n v="0"/>
    <n v="506"/>
    <n v="0"/>
    <n v="682"/>
    <n v="0"/>
    <n v="84"/>
    <n v="100"/>
    <n v="100"/>
    <n v="628999"/>
    <n v="515779"/>
    <n v="517"/>
    <n v="365"/>
    <n v="152"/>
    <n v="0"/>
    <d v="2022-08-02T00:00:00"/>
    <s v="E037648"/>
    <n v="675000"/>
    <n v="675000"/>
    <s v="SWD"/>
    <n v="30"/>
    <s v="N"/>
    <s v="Y"/>
    <n v="621600"/>
    <n v="102500"/>
    <n v="519100"/>
    <n v="0"/>
    <n v="0.92088888888888887"/>
    <n v="609589.08239510574"/>
    <n v="652856.22782258596"/>
    <n v="5.0283506793091959E-2"/>
    <n v="-43267.159008000002"/>
    <n v="87214.824999999997"/>
    <n v="87214.824999999997"/>
    <n v="-25569.730088938311"/>
    <n v="19189.450408000001"/>
    <n v="47273.897095"/>
    <n v="10701.720939999999"/>
    <n v="159306.456454"/>
    <n v="0"/>
    <n v="0"/>
    <n v="34044.303019999999"/>
    <n v="132016.30000000002"/>
    <n v="75820.869000000006"/>
    <n v="0"/>
    <n v="25643.319481999999"/>
    <n v="609589.0773020616"/>
    <n v="0"/>
    <n v="547900"/>
    <n v="61600"/>
    <n v="609500"/>
    <n v="0.90296296296296297"/>
    <n v="-1.9465894465894466E-2"/>
    <n v="0.97570000000000001"/>
    <n v="0.9819"/>
    <n v="0.97829999999999995"/>
    <n v="0.99619999999999997"/>
    <n v="0.97289999999999999"/>
    <n v="0.92691499999999993"/>
    <n v="0.86296655506027509"/>
    <n v="579300"/>
    <n v="0"/>
    <n v="579300"/>
    <n v="57100"/>
    <n v="636400"/>
    <n v="0.1159699479869004"/>
    <n v="-0.44292682926829269"/>
    <n v="2.3809523809523808E-2"/>
    <n v="0.87871531998814811"/>
  </r>
  <r>
    <n v="2025"/>
    <n v="18131644539"/>
    <n v="-1.2729656758128873"/>
    <n v="0.28000000000000003"/>
    <n v="12150"/>
    <n v="5"/>
    <s v="RES"/>
    <n v="3042"/>
    <x v="0"/>
    <s v="R1"/>
    <n v="11"/>
    <n v="259"/>
    <s v="RN"/>
    <s v="G+"/>
    <s v="GD"/>
    <n v="1966"/>
    <n v="1976"/>
    <x v="5"/>
    <n v="58"/>
    <n v="48"/>
    <n v="1"/>
    <n v="1545"/>
    <n v="0"/>
    <n v="0"/>
    <n v="1545"/>
    <n v="1545"/>
    <n v="0"/>
    <n v="3090"/>
    <n v="3500"/>
    <n v="2"/>
    <s v="B"/>
    <s v="FD"/>
    <s v="G"/>
    <s v="Y"/>
    <n v="0"/>
    <n v="2"/>
    <n v="0"/>
    <n v="2"/>
    <n v="0"/>
    <n v="13"/>
    <n v="520"/>
    <n v="0"/>
    <n v="520"/>
    <n v="0"/>
    <n v="363"/>
    <n v="308"/>
    <n v="0"/>
    <n v="100"/>
    <n v="100"/>
    <n v="556408"/>
    <n v="456255"/>
    <n v="441"/>
    <n v="365"/>
    <n v="76"/>
    <n v="0"/>
    <d v="2022-10-17T00:00:00"/>
    <s v="E038551"/>
    <n v="480000"/>
    <n v="480000"/>
    <s v="SWD"/>
    <n v="30"/>
    <s v="N"/>
    <s v="Y"/>
    <n v="528300"/>
    <n v="88200"/>
    <n v="440100"/>
    <n v="0"/>
    <n v="1.100625"/>
    <n v="529087.67538905493"/>
    <n v="579585.80629961507"/>
    <n v="9.7077051485169541E-2"/>
    <n v="-50498.144504000004"/>
    <n v="87214.824999999997"/>
    <n v="87214.824999999997"/>
    <n v="-31859.58889753087"/>
    <n v="19189.450408000001"/>
    <n v="47273.897095"/>
    <n v="10701.720939999999"/>
    <n v="106733.944155"/>
    <n v="0"/>
    <n v="0"/>
    <n v="44200.376609999999"/>
    <n v="132016.30000000002"/>
    <n v="50547.245999999999"/>
    <n v="0"/>
    <n v="26352.818439999999"/>
    <n v="529087.67024646909"/>
    <n v="0"/>
    <n v="473700"/>
    <n v="55400"/>
    <n v="529100"/>
    <n v="1.1022916666666667"/>
    <n v="1.5142911224682945E-3"/>
    <n v="0.97570000000000001"/>
    <n v="0.9819"/>
    <n v="0.97829999999999995"/>
    <n v="0.99619999999999997"/>
    <n v="0.97289999999999999"/>
    <n v="0.92691499999999993"/>
    <n v="0.86296655506027509"/>
    <n v="512300"/>
    <n v="0"/>
    <n v="512300"/>
    <n v="51300"/>
    <n v="563600"/>
    <n v="0.16405362417632358"/>
    <n v="-0.41836734693877553"/>
    <n v="6.6818095778913497E-2"/>
    <n v="1.06896219895"/>
  </r>
  <r>
    <n v="2025"/>
    <n v="18131742427"/>
    <n v="1.3376291891386096"/>
    <n v="3.81"/>
    <n v="0"/>
    <n v="1"/>
    <s v="RES"/>
    <n v="3041"/>
    <x v="0"/>
    <s v="SR"/>
    <n v="11"/>
    <n v="331"/>
    <s v="CU"/>
    <s v="X"/>
    <s v="VG"/>
    <n v="1966"/>
    <n v="1976"/>
    <x v="5"/>
    <n v="58"/>
    <n v="48"/>
    <n v="2"/>
    <n v="4673"/>
    <n v="2684"/>
    <n v="0"/>
    <n v="3854"/>
    <n v="3854"/>
    <n v="0"/>
    <n v="11211"/>
    <n v="11500"/>
    <n v="3"/>
    <s v="B"/>
    <s v="FD"/>
    <s v="G"/>
    <s v="Y"/>
    <n v="0"/>
    <n v="6"/>
    <n v="0"/>
    <n v="1"/>
    <n v="2"/>
    <n v="27"/>
    <n v="816"/>
    <n v="0"/>
    <n v="816"/>
    <n v="0"/>
    <n v="0"/>
    <n v="1014"/>
    <n v="0"/>
    <n v="100"/>
    <n v="100"/>
    <n v="3123309"/>
    <n v="1624121"/>
    <n v="59"/>
    <n v="59"/>
    <n v="0"/>
    <n v="0"/>
    <d v="2023-11-03T00:00:00"/>
    <s v="E041978"/>
    <n v="2000000"/>
    <n v="1936236"/>
    <s v="SWD"/>
    <n v="30"/>
    <s v="N"/>
    <s v="Y"/>
    <n v="1921400"/>
    <n v="233500"/>
    <n v="1687900"/>
    <n v="63764"/>
    <n v="0.9607"/>
    <n v="1899563.1034595247"/>
    <n v="1908894.6592601405"/>
    <n v="-6.5084525553552102E-3"/>
    <n v="-9331.5580000000009"/>
    <n v="87214.824999999997"/>
    <n v="87214.824999999997"/>
    <n v="33477.977350865993"/>
    <n v="519241.74659"/>
    <n v="106557.38887"/>
    <n v="10701.720939999999"/>
    <n v="322827.00390700001"/>
    <n v="164218.32570000002"/>
    <n v="0"/>
    <n v="110257.76793199999"/>
    <n v="274187.7"/>
    <n v="151641.73800000001"/>
    <n v="0"/>
    <n v="41353.653552000003"/>
    <n v="1899563.1148418658"/>
    <n v="63800"/>
    <n v="1778900"/>
    <n v="120700"/>
    <n v="1963400"/>
    <n v="0.98170000000000002"/>
    <n v="2.1859061101280317E-2"/>
    <n v="0.97570000000000001"/>
    <n v="0.99960000000000004"/>
    <n v="0.9748"/>
    <n v="1.0185999999999999"/>
    <n v="0.97289999999999999"/>
    <n v="0.92691499999999993"/>
    <n v="0.8950628944564748"/>
    <n v="1779000"/>
    <n v="59100"/>
    <n v="1838100"/>
    <n v="111900"/>
    <n v="1950000"/>
    <n v="8.8986314355115823E-2"/>
    <n v="-0.52077087794432553"/>
    <n v="1.4884979702300407E-2"/>
    <n v="0.970334221"/>
  </r>
  <r>
    <n v="2025"/>
    <n v="18131644523"/>
    <n v="-1.2729656758128873"/>
    <n v="0.28000000000000003"/>
    <n v="12028"/>
    <n v="5"/>
    <s v="RES"/>
    <n v="3042"/>
    <x v="0"/>
    <s v="R1"/>
    <n v="11"/>
    <n v="259"/>
    <s v="RN"/>
    <s v="A+"/>
    <s v="GD"/>
    <n v="1965"/>
    <n v="1976"/>
    <x v="5"/>
    <n v="59"/>
    <n v="48"/>
    <n v="1"/>
    <n v="1456"/>
    <n v="0"/>
    <n v="0"/>
    <n v="1456"/>
    <n v="1456"/>
    <n v="0"/>
    <n v="2912"/>
    <n v="3000"/>
    <n v="2"/>
    <s v="B"/>
    <s v="FD"/>
    <s v="G"/>
    <s v="Y"/>
    <n v="0"/>
    <n v="1"/>
    <n v="0"/>
    <n v="2"/>
    <n v="0"/>
    <n v="12"/>
    <n v="504"/>
    <n v="0"/>
    <n v="504"/>
    <n v="0"/>
    <n v="0"/>
    <n v="532"/>
    <n v="532"/>
    <n v="100"/>
    <n v="100"/>
    <n v="409467"/>
    <n v="331668"/>
    <n v="438"/>
    <n v="365"/>
    <n v="73"/>
    <n v="0"/>
    <d v="2022-10-20T00:00:00"/>
    <s v="E038570"/>
    <n v="395000"/>
    <n v="395000"/>
    <s v="SWD"/>
    <n v="30"/>
    <s v="N"/>
    <s v="Y"/>
    <n v="405500"/>
    <n v="88200"/>
    <n v="317300"/>
    <n v="0"/>
    <n v="1.0265822784810126"/>
    <n v="434549.45982773294"/>
    <n v="485333.0243757831"/>
    <n v="0.19687552250501383"/>
    <n v="-50783.578142000006"/>
    <n v="87214.824999999997"/>
    <n v="87214.824999999997"/>
    <n v="-31859.58889753087"/>
    <n v="30313.66692"/>
    <n v="47273.897095"/>
    <n v="10886.23337"/>
    <n v="100585.516304"/>
    <n v="0"/>
    <n v="0"/>
    <n v="41654.206048"/>
    <n v="121861.20000000001"/>
    <n v="25273.623"/>
    <n v="0"/>
    <n v="25541.962488000001"/>
    <n v="495176.78818546917"/>
    <n v="0"/>
    <n v="439800"/>
    <n v="55400"/>
    <n v="495200"/>
    <n v="1.2536708860759493"/>
    <n v="0.22120838471023427"/>
    <n v="0.97570000000000001"/>
    <n v="0.85299999999999998"/>
    <n v="0.97829999999999995"/>
    <n v="0.93310000000000004"/>
    <n v="0.97289999999999999"/>
    <n v="0.92691499999999993"/>
    <n v="0.70219444227744765"/>
    <n v="464600"/>
    <n v="0"/>
    <n v="464600"/>
    <n v="51300"/>
    <n v="515900"/>
    <n v="0.46422943586511189"/>
    <n v="-0.41836734693877553"/>
    <n v="0.27225647348951909"/>
    <n v="1.1775099287544304"/>
  </r>
  <r>
    <n v="2025"/>
    <n v="18131644534"/>
    <n v="-1.3093333199837622"/>
    <n v="0.27"/>
    <n v="11620"/>
    <n v="5"/>
    <s v="RES"/>
    <s v="YN1"/>
    <x v="0"/>
    <s v="R1"/>
    <n v="11"/>
    <n v="259"/>
    <s v="SE"/>
    <s v="G"/>
    <s v="AV"/>
    <n v="1965"/>
    <n v="1976"/>
    <x v="5"/>
    <n v="59"/>
    <n v="48"/>
    <n v="1"/>
    <n v="1433"/>
    <n v="0"/>
    <n v="0"/>
    <n v="720"/>
    <n v="720"/>
    <n v="0"/>
    <n v="2153"/>
    <n v="2500"/>
    <n v="2"/>
    <s v="B"/>
    <s v="FD"/>
    <s v="G"/>
    <s v="Y"/>
    <n v="0"/>
    <n v="2"/>
    <n v="0"/>
    <n v="1"/>
    <n v="1"/>
    <n v="10"/>
    <n v="0"/>
    <n v="667"/>
    <n v="667"/>
    <n v="0"/>
    <n v="621"/>
    <n v="0"/>
    <n v="0"/>
    <n v="100"/>
    <n v="100"/>
    <n v="400855"/>
    <n v="296633"/>
    <n v="63"/>
    <n v="63"/>
    <n v="0"/>
    <n v="0"/>
    <d v="2023-10-30T00:00:00"/>
    <s v="E042199"/>
    <n v="404000"/>
    <n v="404000"/>
    <s v="SWD"/>
    <n v="30"/>
    <s v="N"/>
    <s v="Y"/>
    <n v="454600"/>
    <n v="86200"/>
    <n v="368400"/>
    <n v="0"/>
    <n v="1.1252475247524751"/>
    <n v="433747.81892734667"/>
    <n v="443712.02257885167"/>
    <n v="-2.3950676245376883E-2"/>
    <n v="-9964.2060000000001"/>
    <n v="87214.824999999997"/>
    <n v="87214.824999999997"/>
    <n v="-32769.792695222328"/>
    <n v="-14329.694740000001"/>
    <n v="0"/>
    <n v="10886.23337"/>
    <n v="98996.596747000003"/>
    <n v="0"/>
    <n v="0"/>
    <n v="20598.233759999999"/>
    <n v="101551"/>
    <n v="50547.245999999999"/>
    <n v="0"/>
    <n v="33802.557499000002"/>
    <n v="433747.82394077763"/>
    <n v="0"/>
    <n v="379300"/>
    <n v="54400"/>
    <n v="433700"/>
    <n v="1.0735148514851485"/>
    <n v="-4.5974483062032556E-2"/>
    <n v="0.97570000000000001"/>
    <n v="0.98809999999999998"/>
    <n v="0.9677"/>
    <n v="0.93440000000000001"/>
    <n v="0.97289999999999999"/>
    <n v="0.92691499999999993"/>
    <n v="0.80571710531972429"/>
    <n v="372300"/>
    <n v="0"/>
    <n v="372300"/>
    <n v="50500"/>
    <n v="422800"/>
    <n v="1.0586319218241042E-2"/>
    <n v="-0.41415313225058004"/>
    <n v="-6.9951605807303127E-2"/>
    <n v="1.0218707772277227"/>
  </r>
  <r>
    <n v="2025"/>
    <n v="18131533415"/>
    <n v="-1.6094379124341003"/>
    <n v="0.2"/>
    <n v="8649"/>
    <n v="5"/>
    <s v="RES"/>
    <n v="3042"/>
    <x v="0"/>
    <s v="R1"/>
    <n v="11"/>
    <n v="259"/>
    <s v="RN"/>
    <s v="A"/>
    <s v="AV"/>
    <n v="1964"/>
    <n v="1975"/>
    <x v="5"/>
    <n v="60"/>
    <n v="49"/>
    <n v="1"/>
    <n v="1344"/>
    <n v="0"/>
    <n v="0"/>
    <n v="0"/>
    <n v="0"/>
    <n v="0"/>
    <n v="1344"/>
    <n v="1500"/>
    <n v="1"/>
    <s v="B"/>
    <s v="FD"/>
    <s v="G"/>
    <s v="Y"/>
    <n v="0"/>
    <n v="1"/>
    <n v="0"/>
    <n v="0"/>
    <n v="1"/>
    <n v="7"/>
    <n v="384"/>
    <n v="0"/>
    <n v="384"/>
    <n v="0"/>
    <n v="468"/>
    <n v="0"/>
    <n v="0"/>
    <n v="100"/>
    <n v="100"/>
    <n v="218611"/>
    <n v="157400"/>
    <n v="250"/>
    <n v="250"/>
    <n v="0"/>
    <n v="0"/>
    <d v="2023-04-26T00:00:00"/>
    <s v="E040077"/>
    <n v="330000"/>
    <n v="330000"/>
    <s v="SWD"/>
    <n v="30"/>
    <s v="N"/>
    <s v="Y"/>
    <n v="357900"/>
    <n v="69100"/>
    <n v="288800"/>
    <n v="0"/>
    <n v="1.0845454545454545"/>
    <n v="314347.16928870761"/>
    <n v="353887.65996928292"/>
    <n v="-1.1210785221338591E-2"/>
    <n v="-39540.5"/>
    <n v="87214.824999999997"/>
    <n v="87214.824999999997"/>
    <n v="-40280.764218962147"/>
    <n v="0"/>
    <n v="0"/>
    <n v="11070.745800000001"/>
    <n v="92848.168896000003"/>
    <n v="0"/>
    <n v="0"/>
    <n v="0"/>
    <n v="71085.7"/>
    <n v="25273.623"/>
    <n v="0"/>
    <n v="19460.542848000001"/>
    <n v="314347.16632503789"/>
    <n v="0"/>
    <n v="267400"/>
    <n v="46900"/>
    <n v="314300"/>
    <n v="0.9524242424242424"/>
    <n v="-0.12182173791561889"/>
    <n v="0.97570000000000001"/>
    <n v="1.0046999999999999"/>
    <n v="0.9677"/>
    <n v="1.0062"/>
    <n v="0.97289999999999999"/>
    <n v="0.92691499999999993"/>
    <n v="0.88220511194100004"/>
    <n v="296700"/>
    <n v="0"/>
    <n v="296700"/>
    <n v="43500"/>
    <n v="340200"/>
    <n v="2.7354570637119113E-2"/>
    <n v="-0.37047756874095511"/>
    <n v="-4.9455155071248952E-2"/>
    <n v="0.91108939393939392"/>
  </r>
  <r>
    <n v="2025"/>
    <n v="18131644535"/>
    <n v="-1.3093333199837622"/>
    <n v="0.27"/>
    <n v="11716"/>
    <n v="5"/>
    <s v="RES"/>
    <n v="3042"/>
    <x v="0"/>
    <s v="R1"/>
    <n v="11"/>
    <n v="400"/>
    <s v="RN"/>
    <s v="G"/>
    <s v="AV"/>
    <n v="1964"/>
    <n v="1975"/>
    <x v="5"/>
    <n v="60"/>
    <n v="49"/>
    <n v="1"/>
    <n v="1630"/>
    <n v="0"/>
    <n v="0"/>
    <n v="0"/>
    <n v="0"/>
    <n v="0"/>
    <n v="1630"/>
    <n v="2000"/>
    <n v="2"/>
    <s v="B"/>
    <s v="FD"/>
    <s v="G"/>
    <s v="Y"/>
    <n v="0"/>
    <n v="1"/>
    <n v="0"/>
    <n v="1"/>
    <n v="0"/>
    <n v="9"/>
    <n v="500"/>
    <n v="0"/>
    <n v="500"/>
    <n v="0"/>
    <n v="0"/>
    <n v="0"/>
    <n v="0"/>
    <n v="100"/>
    <n v="100"/>
    <n v="337746"/>
    <n v="243177"/>
    <n v="850"/>
    <n v="365"/>
    <n v="365"/>
    <n v="120"/>
    <d v="2021-09-03T00:00:00"/>
    <s v="E033093"/>
    <n v="315000"/>
    <n v="315000"/>
    <s v="SWD"/>
    <n v="30"/>
    <s v="N"/>
    <s v="Y"/>
    <n v="371400"/>
    <n v="86200"/>
    <n v="285200"/>
    <n v="0"/>
    <n v="1.1790476190476191"/>
    <n v="332984.02782279049"/>
    <n v="393015.71077520103"/>
    <n v="5.8200621365646299E-2"/>
    <n v="-60031.690710000003"/>
    <n v="87214.824999999997"/>
    <n v="87214.824999999997"/>
    <n v="-32769.792695222328"/>
    <n v="-14329.694740000001"/>
    <n v="0"/>
    <n v="11070.745800000001"/>
    <n v="112606.03817000001"/>
    <n v="0"/>
    <n v="0"/>
    <n v="0"/>
    <n v="91395.900000000009"/>
    <n v="25273.623"/>
    <n v="0"/>
    <n v="25339.248500000002"/>
    <n v="332984.02732477768"/>
    <n v="0"/>
    <n v="278500"/>
    <n v="54400"/>
    <n v="332900"/>
    <n v="1.0568253968253969"/>
    <n v="-0.10366182014001077"/>
    <n v="0.97570000000000001"/>
    <n v="0.98809999999999998"/>
    <n v="0.9677"/>
    <n v="0.99099999999999999"/>
    <n v="0.97289999999999999"/>
    <n v="0.92691499999999993"/>
    <n v="0.85452231525240441"/>
    <n v="325900"/>
    <n v="0"/>
    <n v="325900"/>
    <n v="50500"/>
    <n v="376400"/>
    <n v="0.14270687237026647"/>
    <n v="-0.41415313225058004"/>
    <n v="1.3462574044157244E-2"/>
    <n v="1.004343839015873"/>
  </r>
  <r>
    <n v="2025"/>
    <n v="18131634412"/>
    <n v="-0.19845093872383832"/>
    <n v="0.82"/>
    <n v="35756"/>
    <n v="5"/>
    <s v="RES"/>
    <s v="HE"/>
    <x v="0"/>
    <s v="R1"/>
    <n v="11"/>
    <n v="259"/>
    <s v="RN"/>
    <s v="V+"/>
    <s v="EX"/>
    <n v="1964"/>
    <n v="2010"/>
    <x v="5"/>
    <n v="60"/>
    <n v="14"/>
    <n v="1"/>
    <n v="3284"/>
    <n v="0"/>
    <n v="0"/>
    <n v="1650"/>
    <n v="1650"/>
    <n v="0"/>
    <n v="4934"/>
    <n v="5000"/>
    <n v="2"/>
    <s v="B"/>
    <s v="HP"/>
    <s v="G"/>
    <m/>
    <n v="0"/>
    <n v="2"/>
    <n v="2"/>
    <n v="1"/>
    <n v="1"/>
    <n v="17"/>
    <n v="586"/>
    <n v="0"/>
    <n v="586"/>
    <n v="0"/>
    <n v="0"/>
    <n v="463"/>
    <n v="0"/>
    <n v="100"/>
    <n v="100"/>
    <n v="1071859"/>
    <n v="1050422"/>
    <n v="941"/>
    <n v="365"/>
    <n v="365"/>
    <n v="211"/>
    <d v="2021-06-04T00:00:00"/>
    <s v="E031609"/>
    <n v="1135000"/>
    <n v="1088461"/>
    <s v="SWD"/>
    <n v="30"/>
    <s v="N"/>
    <s v="Y"/>
    <n v="1057100"/>
    <n v="150000"/>
    <n v="907100"/>
    <n v="46539"/>
    <n v="0.93136563876651979"/>
    <n v="978864.27354649012"/>
    <n v="1066977.2868871631"/>
    <n v="9.3437582888686622E-3"/>
    <n v="-88113.016709999996"/>
    <n v="87214.824999999997"/>
    <n v="87214.824999999997"/>
    <n v="-4966.7995329356618"/>
    <n v="141724.10243"/>
    <n v="133581.64413"/>
    <n v="11070.745800000001"/>
    <n v="226870.079356"/>
    <n v="0"/>
    <n v="0"/>
    <n v="47204.2857"/>
    <n v="172636.7"/>
    <n v="50547.245999999999"/>
    <n v="84182.043999999994"/>
    <n v="29697.599242"/>
    <n v="978864.28041506431"/>
    <n v="46500"/>
    <n v="896600"/>
    <n v="82200"/>
    <n v="1025300"/>
    <n v="0.90334801762114536"/>
    <n v="-3.008230063380948E-2"/>
    <n v="0.97570000000000001"/>
    <n v="1.0051000000000001"/>
    <n v="0.98370000000000002"/>
    <n v="1.0048999999999999"/>
    <n v="0.97289999999999999"/>
    <n v="0.92691499999999993"/>
    <n v="0.89598946705199511"/>
    <n v="975700"/>
    <n v="43100"/>
    <n v="1018800"/>
    <n v="76200"/>
    <n v="1095000"/>
    <n v="0.12313967589019954"/>
    <n v="-0.49199999999999999"/>
    <n v="3.5852804843439598E-2"/>
    <n v="0.88712509540969164"/>
  </r>
  <r>
    <n v="2025"/>
    <n v="18131644493"/>
    <n v="-1.5141277326297755"/>
    <n v="0.22"/>
    <n v="9782"/>
    <n v="5"/>
    <s v="RES"/>
    <n v="3042"/>
    <x v="0"/>
    <s v="R1"/>
    <n v="11"/>
    <n v="259"/>
    <s v="RN"/>
    <s v="A+"/>
    <s v="AV"/>
    <n v="1963"/>
    <n v="1975"/>
    <x v="6"/>
    <n v="61"/>
    <n v="49"/>
    <n v="1"/>
    <n v="1347"/>
    <n v="0"/>
    <n v="0"/>
    <n v="1116"/>
    <n v="1116"/>
    <n v="0"/>
    <n v="2463"/>
    <n v="2500"/>
    <n v="2"/>
    <m/>
    <s v="FD"/>
    <s v="G"/>
    <s v="Y"/>
    <n v="0"/>
    <n v="0"/>
    <n v="1"/>
    <n v="1"/>
    <n v="0"/>
    <n v="11"/>
    <n v="515"/>
    <n v="0"/>
    <n v="515"/>
    <n v="0"/>
    <n v="300"/>
    <n v="0"/>
    <n v="0"/>
    <n v="100"/>
    <n v="100"/>
    <n v="355308"/>
    <n v="255822"/>
    <n v="872"/>
    <n v="365"/>
    <n v="365"/>
    <n v="142"/>
    <d v="2021-08-12T00:00:00"/>
    <s v="E032680"/>
    <n v="385000"/>
    <n v="385000"/>
    <s v="SWD"/>
    <n v="30"/>
    <s v="N"/>
    <s v="Y"/>
    <n v="387200"/>
    <n v="74500"/>
    <n v="312700"/>
    <n v="0"/>
    <n v="1.0057142857142858"/>
    <n v="355534.5311669957"/>
    <n v="422355.10718030488"/>
    <n v="9.0793148709465088E-2"/>
    <n v="-66820.582710000002"/>
    <n v="87214.824999999997"/>
    <n v="87214.824999999997"/>
    <n v="-37895.355716587197"/>
    <n v="30313.66692"/>
    <n v="0"/>
    <n v="11255.258229999999"/>
    <n v="93055.419273000007"/>
    <n v="0"/>
    <n v="0"/>
    <n v="31927.262327999997"/>
    <n v="111706.1"/>
    <n v="0"/>
    <n v="42091.021999999997"/>
    <n v="26099.425954999999"/>
    <n v="416161.86627941276"/>
    <n v="0"/>
    <n v="366800"/>
    <n v="49300"/>
    <n v="416100"/>
    <n v="1.0807792207792208"/>
    <n v="7.463842975206611E-2"/>
    <n v="0.97570000000000001"/>
    <n v="0.85299999999999998"/>
    <n v="0.9677"/>
    <n v="0.93440000000000001"/>
    <n v="0.95089999999999997"/>
    <n v="0.92691499999999993"/>
    <n v="0.67982535737574656"/>
    <n v="405700"/>
    <n v="0"/>
    <n v="405700"/>
    <n v="45700"/>
    <n v="451400"/>
    <n v="0.29740965781899587"/>
    <n v="-0.38657718120805368"/>
    <n v="0.16580578512396693"/>
    <n v="0.99890757737662339"/>
  </r>
  <r>
    <n v="2025"/>
    <n v="18131644493"/>
    <n v="-1.5141277326297755"/>
    <n v="0.22"/>
    <n v="9782"/>
    <n v="5"/>
    <s v="RES"/>
    <n v="3042"/>
    <x v="0"/>
    <s v="R1"/>
    <n v="11"/>
    <n v="259"/>
    <s v="RN"/>
    <s v="A+"/>
    <s v="GD"/>
    <n v="1963"/>
    <n v="1975"/>
    <x v="6"/>
    <n v="61"/>
    <n v="49"/>
    <n v="1"/>
    <n v="1347"/>
    <n v="0"/>
    <n v="0"/>
    <n v="1116"/>
    <n v="1116"/>
    <n v="0"/>
    <n v="2463"/>
    <n v="2500"/>
    <n v="2"/>
    <m/>
    <s v="FD"/>
    <s v="G"/>
    <s v="Y"/>
    <n v="0"/>
    <n v="0"/>
    <n v="1"/>
    <n v="1"/>
    <n v="0"/>
    <n v="11"/>
    <n v="515"/>
    <n v="0"/>
    <n v="515"/>
    <n v="0"/>
    <n v="300"/>
    <n v="0"/>
    <n v="0"/>
    <n v="100"/>
    <n v="100"/>
    <n v="355308"/>
    <n v="280693"/>
    <n v="553"/>
    <n v="365"/>
    <n v="188"/>
    <n v="0"/>
    <d v="2022-06-27T00:00:00"/>
    <s v="E037076"/>
    <n v="430000"/>
    <n v="430000"/>
    <s v="SWD"/>
    <n v="30"/>
    <s v="N"/>
    <s v="Y"/>
    <n v="387200"/>
    <n v="74500"/>
    <n v="312700"/>
    <n v="0"/>
    <n v="0.90046511627906978"/>
    <n v="429787.06249753258"/>
    <n v="469629.00427513296"/>
    <n v="0.21288482509073595"/>
    <n v="-39841.955352000004"/>
    <n v="87214.824999999997"/>
    <n v="87214.824999999997"/>
    <n v="-37895.355716587197"/>
    <n v="30313.66692"/>
    <n v="47273.897095"/>
    <n v="11255.258229999999"/>
    <n v="93055.419273000007"/>
    <n v="0"/>
    <n v="0"/>
    <n v="31927.262327999997"/>
    <n v="111706.1"/>
    <n v="0"/>
    <n v="42091.021999999997"/>
    <n v="26099.425954999999"/>
    <n v="490414.39073241281"/>
    <n v="0"/>
    <n v="441100"/>
    <n v="49300"/>
    <n v="490400"/>
    <n v="1.1404651162790698"/>
    <n v="0.26652892561983471"/>
    <n v="0.97570000000000001"/>
    <n v="0.85299999999999998"/>
    <n v="0.97829999999999995"/>
    <n v="0.93440000000000001"/>
    <n v="0.95089999999999997"/>
    <n v="0.92691499999999993"/>
    <n v="0.68727203381284774"/>
    <n v="453700"/>
    <n v="0"/>
    <n v="453700"/>
    <n v="45700"/>
    <n v="499400"/>
    <n v="0.4509114166933163"/>
    <n v="-0.38657718120805368"/>
    <n v="0.28977272727272729"/>
    <n v="1.0687396387162791"/>
  </r>
  <r>
    <n v="2025"/>
    <n v="18131532491"/>
    <n v="-1.6607312068216509"/>
    <n v="0.19"/>
    <n v="8205"/>
    <n v="5"/>
    <s v="RES"/>
    <n v="3041"/>
    <x v="0"/>
    <s v="R1"/>
    <n v="11"/>
    <n v="259"/>
    <s v="RN"/>
    <s v="G"/>
    <s v="VG"/>
    <n v="1963"/>
    <n v="1975"/>
    <x v="6"/>
    <n v="61"/>
    <n v="49"/>
    <n v="1"/>
    <n v="1836"/>
    <n v="0"/>
    <n v="0"/>
    <n v="880"/>
    <n v="880"/>
    <n v="0"/>
    <n v="2716"/>
    <n v="3000"/>
    <n v="2"/>
    <s v="S"/>
    <s v="FD"/>
    <s v="G"/>
    <s v="Y"/>
    <n v="0"/>
    <n v="2"/>
    <n v="0"/>
    <n v="0"/>
    <n v="1"/>
    <n v="12"/>
    <n v="462"/>
    <n v="0"/>
    <n v="462"/>
    <n v="0"/>
    <n v="0"/>
    <n v="168"/>
    <n v="0"/>
    <n v="100"/>
    <n v="100"/>
    <n v="475150"/>
    <n v="394375"/>
    <n v="1077"/>
    <n v="365"/>
    <n v="365"/>
    <n v="347"/>
    <d v="2021-01-19T00:00:00"/>
    <n v="458333"/>
    <n v="400000"/>
    <n v="400000"/>
    <s v="SWD"/>
    <n v="30"/>
    <s v="N"/>
    <s v="Y"/>
    <n v="480800"/>
    <n v="66200"/>
    <n v="414600"/>
    <n v="0"/>
    <n v="1.202"/>
    <n v="454102.11455716321"/>
    <n v="584182.83045611857"/>
    <n v="0.21502252590706855"/>
    <n v="-130080.71271000001"/>
    <n v="87214.824999999997"/>
    <n v="87214.824999999997"/>
    <n v="-41564.524891726433"/>
    <n v="-14329.694740000001"/>
    <n v="106557.38887"/>
    <n v="11255.258229999999"/>
    <n v="126837.23072400001"/>
    <n v="0"/>
    <n v="0"/>
    <n v="25175.619039999998"/>
    <n v="121861.20000000001"/>
    <n v="50547.245999999999"/>
    <n v="0"/>
    <n v="23413.465614000001"/>
    <n v="454102.12613627355"/>
    <n v="0"/>
    <n v="408500"/>
    <n v="45700"/>
    <n v="454200"/>
    <n v="1.1355"/>
    <n v="-5.5324459234608984E-2"/>
    <n v="0.97570000000000001"/>
    <n v="0.98809999999999998"/>
    <n v="0.9748"/>
    <n v="0.93310000000000004"/>
    <n v="0.95089999999999997"/>
    <n v="0.92691499999999993"/>
    <n v="0.79217177944501926"/>
    <n v="520400"/>
    <n v="0"/>
    <n v="520400"/>
    <n v="42300"/>
    <n v="562700"/>
    <n v="0.25518572117703808"/>
    <n v="-0.36102719033232628"/>
    <n v="0.17034109816971713"/>
    <n v="1.081548218225"/>
  </r>
  <r>
    <n v="2025"/>
    <n v="18131532484"/>
    <n v="-1.6094379124341003"/>
    <n v="0.2"/>
    <n v="8892"/>
    <n v="5"/>
    <s v="RES"/>
    <s v="YN1"/>
    <x v="0"/>
    <s v="R1"/>
    <n v="11"/>
    <n v="259"/>
    <s v="SE"/>
    <s v="G"/>
    <s v="AV"/>
    <n v="1962"/>
    <n v="1975"/>
    <x v="6"/>
    <n v="62"/>
    <n v="49"/>
    <n v="1"/>
    <n v="1570"/>
    <n v="0"/>
    <n v="0"/>
    <n v="982"/>
    <n v="982"/>
    <n v="0"/>
    <n v="2552"/>
    <n v="3000"/>
    <n v="2"/>
    <m/>
    <s v="FD"/>
    <s v="G"/>
    <s v="Y"/>
    <n v="0"/>
    <n v="2"/>
    <n v="0"/>
    <n v="2"/>
    <n v="0"/>
    <n v="12"/>
    <n v="0"/>
    <n v="588"/>
    <n v="588"/>
    <n v="0"/>
    <n v="266"/>
    <n v="264"/>
    <n v="264"/>
    <n v="100"/>
    <n v="100"/>
    <n v="457479"/>
    <n v="361408"/>
    <n v="34"/>
    <n v="34"/>
    <n v="0"/>
    <n v="0"/>
    <d v="2023-11-28T00:00:00"/>
    <s v="E042191"/>
    <n v="385000"/>
    <n v="385000"/>
    <s v="SWD"/>
    <n v="30"/>
    <s v="N"/>
    <s v="Y"/>
    <n v="453900"/>
    <n v="69100"/>
    <n v="384800"/>
    <n v="0"/>
    <n v="1.178961038961039"/>
    <n v="464643.58167437266"/>
    <n v="470021.08840693091"/>
    <n v="3.5516828391564025E-2"/>
    <n v="-5377.5079999999998"/>
    <n v="87214.824999999997"/>
    <n v="87214.824999999997"/>
    <n v="-40280.764218962147"/>
    <n v="-14329.694740000001"/>
    <n v="0"/>
    <n v="11439.77066"/>
    <n v="108461.03063000001"/>
    <n v="0"/>
    <n v="0"/>
    <n v="28093.702155999999"/>
    <n v="121861.20000000001"/>
    <n v="50547.245999999999"/>
    <n v="0"/>
    <n v="29798.956236000002"/>
    <n v="464643.58872303786"/>
    <n v="0"/>
    <n v="417700"/>
    <n v="46900"/>
    <n v="464600"/>
    <n v="1.2067532467532467"/>
    <n v="2.3573474333553647E-2"/>
    <n v="0.97570000000000001"/>
    <n v="0.98809999999999998"/>
    <n v="0.9677"/>
    <n v="0.93310000000000004"/>
    <n v="0.95089999999999997"/>
    <n v="0.92691499999999993"/>
    <n v="0.7864019603702761"/>
    <n v="404500"/>
    <n v="0"/>
    <n v="404500"/>
    <n v="43500"/>
    <n v="448000"/>
    <n v="5.1195426195426198E-2"/>
    <n v="-0.37047756874095511"/>
    <n v="-1.2998457810090328E-2"/>
    <n v="1.1496688103896104"/>
  </r>
  <r>
    <n v="2025"/>
    <n v="18131532484"/>
    <n v="-1.6094379124341003"/>
    <n v="0.2"/>
    <n v="8892"/>
    <n v="5"/>
    <s v="RES"/>
    <n v="3041"/>
    <x v="0"/>
    <s v="R1"/>
    <n v="11"/>
    <n v="259"/>
    <s v="SE"/>
    <s v="G"/>
    <s v="AV"/>
    <n v="1962"/>
    <n v="1975"/>
    <x v="6"/>
    <n v="62"/>
    <n v="49"/>
    <n v="1"/>
    <n v="1570"/>
    <n v="0"/>
    <n v="0"/>
    <n v="982"/>
    <n v="982"/>
    <n v="0"/>
    <n v="2552"/>
    <n v="3000"/>
    <n v="2"/>
    <m/>
    <s v="FD"/>
    <s v="G"/>
    <s v="Y"/>
    <n v="0"/>
    <n v="2"/>
    <n v="0"/>
    <n v="2"/>
    <n v="0"/>
    <n v="12"/>
    <n v="0"/>
    <n v="588"/>
    <n v="588"/>
    <n v="0"/>
    <n v="266"/>
    <n v="264"/>
    <n v="0"/>
    <n v="100"/>
    <n v="100"/>
    <n v="450908"/>
    <n v="356217"/>
    <n v="935"/>
    <n v="365"/>
    <n v="365"/>
    <n v="205"/>
    <d v="2021-06-10T00:00:00"/>
    <s v="E031736"/>
    <n v="389000"/>
    <n v="389000"/>
    <s v="SWD"/>
    <n v="30"/>
    <s v="N"/>
    <s v="Y"/>
    <n v="453900"/>
    <n v="69100"/>
    <n v="384800"/>
    <n v="0"/>
    <n v="1.1668380462724937"/>
    <n v="383759.59135559382"/>
    <n v="470021.08840693091"/>
    <n v="3.5516828391564025E-2"/>
    <n v="-86261.500710000008"/>
    <n v="87214.824999999997"/>
    <n v="87214.824999999997"/>
    <n v="-40280.764218962147"/>
    <n v="-14329.694740000001"/>
    <n v="0"/>
    <n v="11439.77066"/>
    <n v="108461.03063000001"/>
    <n v="0"/>
    <n v="0"/>
    <n v="28093.702155999999"/>
    <n v="121861.20000000001"/>
    <n v="50547.245999999999"/>
    <n v="0"/>
    <n v="29798.956236000002"/>
    <n v="383759.59601303784"/>
    <n v="0"/>
    <n v="336800"/>
    <n v="46900"/>
    <n v="383700"/>
    <n v="0.98637532133676098"/>
    <n v="-0.15465961665565103"/>
    <n v="0.97570000000000001"/>
    <n v="0.98809999999999998"/>
    <n v="0.9677"/>
    <n v="0.93310000000000004"/>
    <n v="0.95089999999999997"/>
    <n v="0.92691499999999993"/>
    <n v="0.7864019603702761"/>
    <n v="404500"/>
    <n v="0"/>
    <n v="404500"/>
    <n v="43500"/>
    <n v="448000"/>
    <n v="5.1195426195426198E-2"/>
    <n v="-0.37047756874095511"/>
    <n v="-1.2998457810090328E-2"/>
    <n v="0.92991902131105397"/>
  </r>
  <r>
    <n v="2025"/>
    <n v="18131642421"/>
    <n v="-0.6348782724359695"/>
    <n v="0.53"/>
    <n v="23107"/>
    <n v="5"/>
    <s v="RES"/>
    <n v="3041"/>
    <x v="0"/>
    <s v="R1"/>
    <n v="11"/>
    <n v="259"/>
    <s v="RN"/>
    <s v="G+"/>
    <s v="GD"/>
    <n v="1962"/>
    <n v="1985"/>
    <x v="6"/>
    <n v="62"/>
    <n v="39"/>
    <n v="1"/>
    <n v="1852"/>
    <n v="0"/>
    <n v="0"/>
    <n v="1668"/>
    <n v="1668"/>
    <n v="0"/>
    <n v="3520"/>
    <n v="4000"/>
    <n v="2"/>
    <m/>
    <s v="FD"/>
    <s v="G"/>
    <s v="Y"/>
    <n v="0"/>
    <n v="2"/>
    <n v="0"/>
    <n v="1"/>
    <n v="1"/>
    <n v="13"/>
    <n v="600"/>
    <n v="0"/>
    <n v="600"/>
    <n v="0"/>
    <n v="0"/>
    <n v="401"/>
    <n v="0"/>
    <n v="100"/>
    <n v="100"/>
    <n v="622305"/>
    <n v="547628"/>
    <n v="510"/>
    <n v="365"/>
    <n v="145"/>
    <n v="0"/>
    <d v="2022-08-09T00:00:00"/>
    <s v="E037684"/>
    <n v="593000"/>
    <n v="573540"/>
    <s v="SWD"/>
    <n v="30"/>
    <s v="N"/>
    <s v="Y"/>
    <n v="576000"/>
    <n v="124500"/>
    <n v="451500"/>
    <n v="19460"/>
    <n v="0.97133220910623941"/>
    <n v="581142.41884867346"/>
    <n v="625075.57609696372"/>
    <n v="8.5200652946117575E-2"/>
    <n v="-43933.170830000003"/>
    <n v="87214.824999999997"/>
    <n v="87214.824999999997"/>
    <n v="-15889.63563127349"/>
    <n v="19189.450408000001"/>
    <n v="47273.897095"/>
    <n v="11439.77066"/>
    <n v="127942.56606800001"/>
    <n v="0"/>
    <n v="0"/>
    <n v="47719.241543999997"/>
    <n v="132016.30000000002"/>
    <n v="50547.245999999999"/>
    <n v="0"/>
    <n v="30407.0982"/>
    <n v="581142.41351372655"/>
    <n v="19500"/>
    <n v="509800"/>
    <n v="71300"/>
    <n v="600600"/>
    <n v="1.0128161888701517"/>
    <n v="4.2708333333333334E-2"/>
    <n v="0.97570000000000001"/>
    <n v="0.9819"/>
    <n v="0.97829999999999995"/>
    <n v="1.034"/>
    <n v="0.95089999999999997"/>
    <n v="0.92691499999999993"/>
    <n v="0.87545657743628402"/>
    <n v="542900"/>
    <n v="18000"/>
    <n v="560900"/>
    <n v="66100"/>
    <n v="627000"/>
    <n v="0.24230343300110743"/>
    <n v="-0.46907630522088356"/>
    <n v="8.8541666666666671E-2"/>
    <n v="0.98324929033726816"/>
  </r>
  <r>
    <n v="2025"/>
    <n v="18131532415"/>
    <n v="-1.4271163556401458"/>
    <n v="0.24"/>
    <n v="10537"/>
    <n v="5"/>
    <s v="RES"/>
    <n v="3041"/>
    <x v="0"/>
    <s v="R1"/>
    <n v="11"/>
    <n v="259"/>
    <s v="RN"/>
    <s v="G+"/>
    <s v="GD"/>
    <n v="1962"/>
    <n v="1975"/>
    <x v="6"/>
    <n v="62"/>
    <n v="49"/>
    <n v="1"/>
    <n v="1884"/>
    <n v="0"/>
    <n v="0"/>
    <n v="1664"/>
    <n v="1664"/>
    <n v="0"/>
    <n v="3548"/>
    <n v="4000"/>
    <n v="2"/>
    <s v="B"/>
    <s v="FD"/>
    <s v="G"/>
    <s v="Y"/>
    <n v="0"/>
    <n v="2"/>
    <n v="0"/>
    <n v="2"/>
    <n v="1"/>
    <n v="13"/>
    <n v="504"/>
    <n v="0"/>
    <n v="504"/>
    <n v="0"/>
    <n v="0"/>
    <n v="172"/>
    <n v="239"/>
    <n v="100"/>
    <n v="100"/>
    <n v="596133"/>
    <n v="476906"/>
    <n v="993"/>
    <n v="365"/>
    <n v="365"/>
    <n v="263"/>
    <d v="2021-04-13T00:00:00"/>
    <s v="E030959"/>
    <n v="540000"/>
    <n v="508051"/>
    <s v="SWD"/>
    <n v="30"/>
    <s v="N"/>
    <s v="Y"/>
    <n v="537100"/>
    <n v="79500"/>
    <n v="457600"/>
    <n v="31949"/>
    <n v="0.99462962962962964"/>
    <n v="498319.17559243104"/>
    <n v="602478.66344068258"/>
    <n v="0.12172530895677262"/>
    <n v="-104159.48871000001"/>
    <n v="87214.824999999997"/>
    <n v="87214.824999999997"/>
    <n v="-35717.648373042801"/>
    <n v="19189.450408000001"/>
    <n v="47273.897095"/>
    <n v="11439.77066"/>
    <n v="130153.23675600001"/>
    <n v="0"/>
    <n v="0"/>
    <n v="47604.806912"/>
    <n v="132016.30000000002"/>
    <n v="50547.245999999999"/>
    <n v="0"/>
    <n v="25541.962488000001"/>
    <n v="498319.18323595717"/>
    <n v="31900"/>
    <n v="446800"/>
    <n v="51500"/>
    <n v="530200"/>
    <n v="0.98185185185185186"/>
    <n v="-1.2846769689070937E-2"/>
    <n v="0.97570000000000001"/>
    <n v="0.9819"/>
    <n v="0.97829999999999995"/>
    <n v="1.034"/>
    <n v="0.95089999999999997"/>
    <n v="0.92691499999999993"/>
    <n v="0.87545657743628402"/>
    <n v="540100"/>
    <n v="29600"/>
    <n v="569700"/>
    <n v="47700"/>
    <n v="617400"/>
    <n v="0.24497377622377622"/>
    <n v="-0.4"/>
    <n v="0.14950660956991249"/>
    <n v="0.95044539127777772"/>
  </r>
  <r>
    <n v="2025"/>
    <n v="18131644415"/>
    <n v="-1.5141277326297755"/>
    <n v="0.22"/>
    <n v="9413"/>
    <n v="5"/>
    <s v="RES"/>
    <n v="3042"/>
    <x v="0"/>
    <s v="R1"/>
    <n v="11"/>
    <n v="259"/>
    <s v="SL"/>
    <s v="A+"/>
    <s v="AV"/>
    <n v="1960"/>
    <n v="1975"/>
    <x v="6"/>
    <n v="64"/>
    <n v="49"/>
    <n v="1"/>
    <n v="946"/>
    <n v="0"/>
    <n v="0"/>
    <n v="771"/>
    <n v="771"/>
    <n v="0"/>
    <n v="1717"/>
    <n v="2000"/>
    <n v="0"/>
    <m/>
    <s v="FD"/>
    <s v="G"/>
    <s v="Y"/>
    <n v="0"/>
    <n v="1"/>
    <n v="0"/>
    <n v="0"/>
    <n v="1"/>
    <n v="7"/>
    <n v="0"/>
    <n v="0"/>
    <n v="0"/>
    <n v="280"/>
    <n v="0"/>
    <n v="207"/>
    <n v="0"/>
    <n v="100"/>
    <n v="100"/>
    <n v="265338"/>
    <n v="191043"/>
    <n v="881"/>
    <n v="365"/>
    <n v="365"/>
    <n v="151"/>
    <d v="2021-08-03T00:00:00"/>
    <s v="E032509"/>
    <n v="279000"/>
    <n v="279000"/>
    <s v="SWD"/>
    <n v="30"/>
    <s v="N"/>
    <s v="Y"/>
    <n v="291900"/>
    <n v="74500"/>
    <n v="217400"/>
    <n v="0"/>
    <n v="1.0462365591397849"/>
    <n v="232201.11704400636"/>
    <n v="301798.96749131952"/>
    <n v="3.3912187363204935E-2"/>
    <n v="-69597.856710000007"/>
    <n v="87214.824999999997"/>
    <n v="87214.824999999997"/>
    <n v="-37895.355716587197"/>
    <n v="30313.66692"/>
    <n v="0"/>
    <n v="11808.79552"/>
    <n v="65352.952214000004"/>
    <n v="0"/>
    <n v="0"/>
    <n v="22057.275318"/>
    <n v="71085.7"/>
    <n v="25273.623"/>
    <n v="0"/>
    <n v="0"/>
    <n v="292828.45054541284"/>
    <n v="0"/>
    <n v="243500"/>
    <n v="49300"/>
    <n v="292800"/>
    <n v="1.0494623655913979"/>
    <n v="3.0832476875642342E-3"/>
    <n v="0.97570000000000001"/>
    <n v="0.85299999999999998"/>
    <n v="0.9677"/>
    <n v="0.99099999999999999"/>
    <n v="0.95089999999999997"/>
    <n v="0.92691499999999993"/>
    <n v="0.72100484713116952"/>
    <n v="288800"/>
    <n v="0"/>
    <n v="288800"/>
    <n v="45700"/>
    <n v="334500"/>
    <n v="0.32842686292548295"/>
    <n v="-0.38657718120805368"/>
    <n v="0.14594039054470709"/>
    <n v="0.94947004763440856"/>
  </r>
  <r>
    <n v="2025"/>
    <n v="18131643408"/>
    <n v="-0.84397007029452897"/>
    <n v="0.43"/>
    <n v="18657"/>
    <n v="5"/>
    <s v="RES"/>
    <n v="3041"/>
    <x v="0"/>
    <s v="R1"/>
    <n v="11"/>
    <n v="259"/>
    <s v="RN"/>
    <s v="G"/>
    <s v="AV"/>
    <n v="1960"/>
    <n v="1975"/>
    <x v="6"/>
    <n v="64"/>
    <n v="49"/>
    <n v="1"/>
    <n v="1540"/>
    <n v="0"/>
    <n v="0"/>
    <n v="1254"/>
    <n v="1238"/>
    <n v="16"/>
    <n v="2778"/>
    <n v="3000"/>
    <n v="1"/>
    <s v="B"/>
    <s v="FD"/>
    <s v="E"/>
    <s v="Y"/>
    <n v="0"/>
    <n v="2"/>
    <n v="0"/>
    <n v="2"/>
    <n v="0"/>
    <n v="13"/>
    <n v="0"/>
    <n v="286"/>
    <n v="286"/>
    <n v="0"/>
    <n v="384"/>
    <n v="0"/>
    <n v="0"/>
    <n v="100"/>
    <n v="100"/>
    <n v="450869"/>
    <n v="324626"/>
    <n v="797"/>
    <n v="365"/>
    <n v="365"/>
    <n v="67"/>
    <d v="2021-10-26T00:00:00"/>
    <s v="E033820"/>
    <n v="385000"/>
    <n v="385000"/>
    <s v="SWD"/>
    <n v="30"/>
    <s v="N"/>
    <s v="Y"/>
    <n v="463100"/>
    <n v="112600"/>
    <n v="350500"/>
    <n v="0"/>
    <n v="1.2028571428571428"/>
    <n v="446430.74720009824"/>
    <n v="490107.36959670752"/>
    <n v="5.8318656006710254E-2"/>
    <n v="-43676.632710000005"/>
    <n v="87214.824999999997"/>
    <n v="87214.824999999997"/>
    <n v="-21122.752947940648"/>
    <n v="-14329.694740000001"/>
    <n v="0"/>
    <n v="11808.79552"/>
    <n v="106388.52686000001"/>
    <n v="0"/>
    <n v="0"/>
    <n v="35875.257131999999"/>
    <n v="132016.30000000002"/>
    <n v="50547.245999999999"/>
    <n v="0"/>
    <n v="14494.050142"/>
    <n v="446430.74525605934"/>
    <n v="0"/>
    <n v="380300"/>
    <n v="66100"/>
    <n v="446400"/>
    <n v="1.1594805194805196"/>
    <n v="-3.6061325847549126E-2"/>
    <n v="0.97570000000000001"/>
    <n v="0.98809999999999998"/>
    <n v="0.9677"/>
    <n v="0.93310000000000004"/>
    <n v="0.95089999999999997"/>
    <n v="0.92691499999999993"/>
    <n v="0.7864019603702761"/>
    <n v="405400"/>
    <n v="0"/>
    <n v="405400"/>
    <n v="61300"/>
    <n v="466700"/>
    <n v="0.15663338088445078"/>
    <n v="-0.45559502664298401"/>
    <n v="7.77369898510041E-3"/>
    <n v="1.0987619929610388"/>
  </r>
  <r>
    <n v="2025"/>
    <n v="18131644477"/>
    <n v="-1.6607312068216509"/>
    <n v="0.19"/>
    <n v="8400"/>
    <n v="5"/>
    <s v="RES"/>
    <n v="3042"/>
    <x v="0"/>
    <s v="R1"/>
    <n v="11"/>
    <n v="259"/>
    <s v="RN"/>
    <s v="G"/>
    <s v="GD"/>
    <n v="1960"/>
    <n v="1975"/>
    <x v="6"/>
    <n v="64"/>
    <n v="49"/>
    <n v="1"/>
    <n v="1734"/>
    <n v="0"/>
    <n v="0"/>
    <n v="992"/>
    <n v="100"/>
    <n v="892"/>
    <n v="1834"/>
    <n v="2000"/>
    <n v="0"/>
    <s v="B"/>
    <s v="FD"/>
    <s v="G"/>
    <s v="Y"/>
    <n v="0"/>
    <n v="1"/>
    <n v="0"/>
    <n v="1"/>
    <n v="1"/>
    <n v="7"/>
    <n v="0"/>
    <n v="0"/>
    <n v="0"/>
    <n v="0"/>
    <n v="0"/>
    <n v="464"/>
    <n v="464"/>
    <n v="100"/>
    <n v="100"/>
    <n v="372847"/>
    <n v="294549"/>
    <n v="199"/>
    <n v="199"/>
    <n v="0"/>
    <n v="0"/>
    <d v="2023-06-16T00:00:00"/>
    <s v="E040568"/>
    <n v="300000"/>
    <n v="300000"/>
    <s v="SWD"/>
    <n v="30"/>
    <s v="N"/>
    <s v="Y"/>
    <n v="362100"/>
    <n v="66200"/>
    <n v="295900"/>
    <n v="0"/>
    <n v="1.2070000000000001"/>
    <n v="390673.71603890834"/>
    <n v="422147.94662064628"/>
    <n v="0.16583249550026591"/>
    <n v="-31474.238000000001"/>
    <n v="87214.824999999997"/>
    <n v="87214.824999999997"/>
    <n v="-41564.524891726433"/>
    <n v="-14329.694740000001"/>
    <n v="47273.897095"/>
    <n v="11808.79552"/>
    <n v="119790.71790600001"/>
    <n v="0"/>
    <n v="0"/>
    <n v="28379.788735999999"/>
    <n v="71085.7"/>
    <n v="25273.623"/>
    <n v="0"/>
    <n v="0"/>
    <n v="390673.7146252736"/>
    <n v="0"/>
    <n v="345000"/>
    <n v="45700"/>
    <n v="390700"/>
    <n v="1.3023333333333333"/>
    <n v="7.898370615851974E-2"/>
    <n v="0.97570000000000001"/>
    <n v="0.98809999999999998"/>
    <n v="0.97829999999999995"/>
    <n v="0.99099999999999999"/>
    <n v="0.95089999999999997"/>
    <n v="0.92691499999999993"/>
    <n v="0.84434777831487751"/>
    <n v="362900"/>
    <n v="0"/>
    <n v="362900"/>
    <n v="42300"/>
    <n v="405200"/>
    <n v="0.22642784724569112"/>
    <n v="-0.36102719033232628"/>
    <n v="0.11902789284727976"/>
    <n v="1.24575254"/>
  </r>
  <r>
    <n v="2025"/>
    <n v="18131534010"/>
    <n v="-0.43078291609245423"/>
    <n v="0.65"/>
    <n v="28477"/>
    <n v="5"/>
    <s v="RES"/>
    <n v="3042"/>
    <x v="0"/>
    <s v="R2"/>
    <n v="11"/>
    <n v="259"/>
    <s v="RN"/>
    <s v="G"/>
    <s v="GD"/>
    <n v="1960"/>
    <n v="1975"/>
    <x v="6"/>
    <n v="64"/>
    <n v="49"/>
    <n v="1"/>
    <n v="1617"/>
    <n v="0"/>
    <n v="0"/>
    <n v="1617"/>
    <n v="1617"/>
    <n v="0"/>
    <n v="3234"/>
    <n v="3500"/>
    <n v="2"/>
    <s v="B"/>
    <s v="FD"/>
    <s v="G"/>
    <s v="Y"/>
    <n v="0"/>
    <n v="2"/>
    <n v="0"/>
    <n v="1"/>
    <n v="1"/>
    <n v="11"/>
    <n v="638"/>
    <n v="0"/>
    <n v="638"/>
    <n v="0"/>
    <n v="0"/>
    <n v="1217"/>
    <n v="584"/>
    <n v="100"/>
    <n v="100"/>
    <n v="524027"/>
    <n v="413981"/>
    <n v="923"/>
    <n v="365"/>
    <n v="365"/>
    <n v="193"/>
    <d v="2021-06-22T00:00:00"/>
    <s v="E031855"/>
    <n v="407000"/>
    <n v="407000"/>
    <s v="SWD"/>
    <n v="30"/>
    <s v="N"/>
    <s v="Y"/>
    <n v="484600"/>
    <n v="136100"/>
    <n v="348500"/>
    <n v="0"/>
    <n v="1.1906633906633906"/>
    <n v="478396.98796336376"/>
    <n v="560955.45243602886"/>
    <n v="0.15756387213377809"/>
    <n v="-82558.468710000016"/>
    <n v="87214.824999999997"/>
    <n v="87214.824999999997"/>
    <n v="-10781.568483392866"/>
    <n v="-14329.694740000001"/>
    <n v="47273.897095"/>
    <n v="11808.79552"/>
    <n v="111707.95320300001"/>
    <n v="0"/>
    <n v="0"/>
    <n v="46260.199986"/>
    <n v="111706.1"/>
    <n v="50547.245999999999"/>
    <n v="0"/>
    <n v="32332.881086000001"/>
    <n v="478396.9909566071"/>
    <n v="0"/>
    <n v="402000"/>
    <n v="76400"/>
    <n v="478400"/>
    <n v="1.1754299754299755"/>
    <n v="-1.2794056954189021E-2"/>
    <n v="0.97570000000000001"/>
    <n v="0.98809999999999998"/>
    <n v="0.97829999999999995"/>
    <n v="0.99619999999999997"/>
    <n v="0.95089999999999997"/>
    <n v="0.92691499999999993"/>
    <n v="0.84877826110724619"/>
    <n v="471300"/>
    <n v="0"/>
    <n v="471300"/>
    <n v="70800"/>
    <n v="542100"/>
    <n v="0.35236728837876613"/>
    <n v="-0.47979426891991184"/>
    <n v="0.11865456046223689"/>
    <n v="1.1290946714742014"/>
  </r>
  <r>
    <n v="2025"/>
    <n v="18131744402"/>
    <n v="0.72754860727727766"/>
    <n v="2.0699999999999998"/>
    <n v="0"/>
    <n v="1"/>
    <s v="RES"/>
    <s v="HE"/>
    <x v="0"/>
    <s v="SR"/>
    <n v="83"/>
    <m/>
    <s v="RN"/>
    <s v="V"/>
    <s v="GD"/>
    <n v="1960"/>
    <n v="1995"/>
    <x v="6"/>
    <n v="64"/>
    <n v="29"/>
    <n v="1"/>
    <n v="3422"/>
    <n v="0"/>
    <n v="0"/>
    <n v="400"/>
    <n v="0"/>
    <n v="400"/>
    <n v="3422"/>
    <n v="3500"/>
    <n v="2"/>
    <m/>
    <s v="HP"/>
    <s v="E"/>
    <m/>
    <n v="0"/>
    <n v="2"/>
    <n v="0"/>
    <n v="0"/>
    <n v="1"/>
    <n v="11"/>
    <n v="1164"/>
    <n v="0"/>
    <n v="1164"/>
    <n v="0"/>
    <n v="0"/>
    <n v="0"/>
    <n v="0"/>
    <n v="100"/>
    <n v="100"/>
    <n v="832360"/>
    <n v="774095"/>
    <n v="606"/>
    <n v="365"/>
    <n v="241"/>
    <n v="0"/>
    <d v="2022-05-05T00:00:00"/>
    <s v="E036390"/>
    <n v="850000"/>
    <n v="826985"/>
    <s v="BARGA"/>
    <n v="30"/>
    <s v="N"/>
    <s v="Y"/>
    <n v="735100"/>
    <n v="201900"/>
    <n v="533200"/>
    <n v="23015"/>
    <n v="0.86482352941176466"/>
    <n v="732734.73017661844"/>
    <n v="767534.01102522889"/>
    <n v="4.4121903176749945E-2"/>
    <n v="-34799.294414000004"/>
    <n v="87214.824999999997"/>
    <n v="87214.824999999997"/>
    <n v="18208.974500450186"/>
    <n v="46722.525125"/>
    <n v="47273.897095"/>
    <n v="11808.79552"/>
    <n v="236403.59669800001"/>
    <n v="0"/>
    <n v="0"/>
    <n v="11443.4632"/>
    <n v="111706.1"/>
    <n v="50547.245999999999"/>
    <n v="0"/>
    <n v="58989.770508000001"/>
    <n v="732734.72423245024"/>
    <n v="23000"/>
    <n v="627300"/>
    <n v="105400"/>
    <n v="755700"/>
    <n v="0.88905882352941179"/>
    <n v="2.8023398177118759E-2"/>
    <n v="0.97570000000000001"/>
    <n v="0.98329999999999995"/>
    <n v="0.97829999999999995"/>
    <n v="0.99619999999999997"/>
    <n v="0.95089999999999997"/>
    <n v="0.92691499999999993"/>
    <n v="0.84465505935305651"/>
    <n v="648600"/>
    <n v="21300"/>
    <n v="669900"/>
    <n v="97700"/>
    <n v="767600"/>
    <n v="0.25637659414853714"/>
    <n v="-0.51609707776126801"/>
    <n v="4.4211671881376681E-2"/>
    <n v="0.86211847716000001"/>
  </r>
  <r>
    <n v="2025"/>
    <n v="18131644470"/>
    <n v="-1.6607312068216509"/>
    <n v="0.19"/>
    <n v="8400"/>
    <n v="5"/>
    <s v="RES"/>
    <s v="YN1"/>
    <x v="0"/>
    <s v="R1"/>
    <n v="11"/>
    <n v="259"/>
    <s v="RN"/>
    <s v="A"/>
    <s v="AV"/>
    <n v="1957"/>
    <n v="1974"/>
    <x v="6"/>
    <n v="67"/>
    <n v="50"/>
    <n v="1"/>
    <n v="1292"/>
    <n v="0"/>
    <n v="0"/>
    <n v="0"/>
    <n v="0"/>
    <n v="0"/>
    <n v="1292"/>
    <n v="1500"/>
    <n v="0"/>
    <m/>
    <s v="FD"/>
    <s v="G"/>
    <s v="Y"/>
    <n v="1"/>
    <n v="0"/>
    <n v="0"/>
    <n v="0"/>
    <n v="0"/>
    <n v="8"/>
    <n v="0"/>
    <n v="0"/>
    <n v="0"/>
    <n v="646"/>
    <n v="140"/>
    <n v="152"/>
    <n v="152"/>
    <n v="100"/>
    <n v="100"/>
    <n v="209202"/>
    <n v="148533"/>
    <n v="55"/>
    <n v="55"/>
    <n v="0"/>
    <n v="0"/>
    <d v="2023-11-07T00:00:00"/>
    <s v="E042002"/>
    <n v="345000"/>
    <n v="345000"/>
    <s v="SWD"/>
    <n v="30"/>
    <s v="N"/>
    <s v="Y"/>
    <n v="302500"/>
    <n v="66200"/>
    <n v="236300"/>
    <n v="0"/>
    <n v="0.87681159420289856"/>
    <n v="307025.17211844685"/>
    <n v="315724.08006817341"/>
    <n v="4.3715967167515406E-2"/>
    <n v="-8698.91"/>
    <n v="87214.824999999997"/>
    <n v="87214.824999999997"/>
    <n v="-41564.524891726433"/>
    <n v="0"/>
    <n v="0"/>
    <n v="12362.33281"/>
    <n v="89255.829028000007"/>
    <n v="0"/>
    <n v="0"/>
    <n v="0"/>
    <n v="81240.800000000003"/>
    <n v="0"/>
    <n v="0"/>
    <n v="0"/>
    <n v="307025.17694627354"/>
    <n v="0"/>
    <n v="261400"/>
    <n v="45700"/>
    <n v="307100"/>
    <n v="0.89014492753623187"/>
    <n v="1.5206611570247934E-2"/>
    <n v="0.97570000000000001"/>
    <n v="1.0046999999999999"/>
    <n v="0.9677"/>
    <n v="1.0062"/>
    <n v="0.95089999999999997"/>
    <n v="0.92691499999999993"/>
    <n v="0.86225597794706244"/>
    <n v="258100"/>
    <n v="0"/>
    <n v="258100"/>
    <n v="42300"/>
    <n v="300400"/>
    <n v="9.2255607278882781E-2"/>
    <n v="-0.36102719033232628"/>
    <n v="-6.9421487603305784E-3"/>
    <n v="0.84551040579710157"/>
  </r>
  <r>
    <n v="2025"/>
    <n v="18131634408"/>
    <n v="-0.79850769621777162"/>
    <n v="0.45"/>
    <n v="19603"/>
    <n v="5"/>
    <s v="RES"/>
    <n v="3041"/>
    <x v="0"/>
    <s v="R1"/>
    <n v="11"/>
    <n v="259"/>
    <s v="RN"/>
    <s v="V"/>
    <s v="VG"/>
    <n v="1957"/>
    <n v="1974"/>
    <x v="6"/>
    <n v="67"/>
    <n v="50"/>
    <n v="1"/>
    <n v="2321"/>
    <n v="0"/>
    <n v="0"/>
    <n v="2086"/>
    <n v="2086"/>
    <n v="0"/>
    <n v="4407"/>
    <n v="4500"/>
    <n v="0"/>
    <s v="B"/>
    <s v="FD"/>
    <s v="G"/>
    <s v="Y"/>
    <n v="0"/>
    <n v="2"/>
    <n v="0"/>
    <n v="1"/>
    <n v="1"/>
    <n v="14"/>
    <n v="0"/>
    <n v="0"/>
    <n v="0"/>
    <n v="0"/>
    <n v="877"/>
    <n v="0"/>
    <n v="0"/>
    <n v="100"/>
    <n v="100"/>
    <n v="807716"/>
    <n v="678481"/>
    <n v="453"/>
    <n v="365"/>
    <n v="88"/>
    <n v="0"/>
    <d v="2022-10-05T00:00:00"/>
    <s v="E038363"/>
    <n v="750000"/>
    <n v="691248"/>
    <s v="SWD"/>
    <n v="30"/>
    <s v="N"/>
    <s v="Y"/>
    <n v="725100"/>
    <n v="115200"/>
    <n v="609900"/>
    <n v="58752"/>
    <n v="0.96679999999999999"/>
    <n v="683469.57913623797"/>
    <n v="732825.9754968381"/>
    <n v="1.0655048264843611E-2"/>
    <n v="-49356.409952000002"/>
    <n v="87214.824999999997"/>
    <n v="87214.824999999997"/>
    <n v="-19984.927650753172"/>
    <n v="46722.525125"/>
    <n v="106557.38887"/>
    <n v="12362.33281"/>
    <n v="160342.708339"/>
    <n v="0"/>
    <n v="0"/>
    <n v="59677.660587999999"/>
    <n v="142171.4"/>
    <n v="50547.245999999999"/>
    <n v="0"/>
    <n v="0"/>
    <n v="683469.57412924687"/>
    <n v="58800"/>
    <n v="616200"/>
    <n v="67200"/>
    <n v="742200"/>
    <n v="0.98960000000000004"/>
    <n v="2.3582954075299957E-2"/>
    <n v="0.97570000000000001"/>
    <n v="0.98329999999999995"/>
    <n v="0.9748"/>
    <n v="1.0087999999999999"/>
    <n v="0.95089999999999997"/>
    <n v="0.92691499999999993"/>
    <n v="0.85227822145876098"/>
    <n v="652700"/>
    <n v="54500"/>
    <n v="707200"/>
    <n v="62300"/>
    <n v="769500"/>
    <n v="0.15953434989342516"/>
    <n v="-0.4592013888888889"/>
    <n v="6.123293338849814E-2"/>
    <n v="0.96019145339733336"/>
  </r>
  <r>
    <n v="2025"/>
    <n v="18131533428"/>
    <n v="-1.5141277326297755"/>
    <n v="0.22"/>
    <n v="9494"/>
    <n v="5"/>
    <s v="RES"/>
    <n v="3042"/>
    <x v="0"/>
    <s v="R1"/>
    <n v="11"/>
    <n v="259"/>
    <s v="RN"/>
    <s v="A+"/>
    <s v="AV"/>
    <n v="1956"/>
    <n v="1974"/>
    <x v="6"/>
    <n v="68"/>
    <n v="50"/>
    <n v="1"/>
    <n v="1080"/>
    <n v="0"/>
    <n v="0"/>
    <n v="1080"/>
    <n v="1080"/>
    <n v="0"/>
    <n v="2160"/>
    <n v="2500"/>
    <n v="1"/>
    <m/>
    <s v="FD"/>
    <s v="G"/>
    <s v="Y"/>
    <n v="0"/>
    <n v="2"/>
    <n v="0"/>
    <n v="1"/>
    <n v="0"/>
    <n v="8"/>
    <n v="288"/>
    <n v="0"/>
    <n v="288"/>
    <n v="0"/>
    <n v="482"/>
    <n v="144"/>
    <n v="0"/>
    <n v="100"/>
    <n v="100"/>
    <n v="314010"/>
    <n v="222947"/>
    <n v="944"/>
    <n v="365"/>
    <n v="365"/>
    <n v="214"/>
    <d v="2021-06-01T00:00:00"/>
    <s v="E031562"/>
    <n v="360000"/>
    <n v="360000"/>
    <s v="SWD"/>
    <n v="30"/>
    <s v="N"/>
    <s v="Y"/>
    <n v="367700"/>
    <n v="74500"/>
    <n v="293200"/>
    <n v="0"/>
    <n v="1.0213888888888889"/>
    <n v="281619.63437102997"/>
    <n v="370658.40585637104"/>
    <n v="8.0457053477591585E-3"/>
    <n v="-89038.774710000012"/>
    <n v="87214.824999999997"/>
    <n v="87214.824999999997"/>
    <n v="-37895.355716587197"/>
    <n v="30313.66692"/>
    <n v="0"/>
    <n v="12546.845239999999"/>
    <n v="74610.135720000006"/>
    <n v="0"/>
    <n v="0"/>
    <n v="30897.350639999997"/>
    <n v="81240.800000000003"/>
    <n v="50547.245999999999"/>
    <n v="0"/>
    <n v="14595.407136"/>
    <n v="342246.97122941277"/>
    <n v="0"/>
    <n v="292900"/>
    <n v="49300"/>
    <n v="342200"/>
    <n v="0.9505555555555556"/>
    <n v="-6.9350013598041882E-2"/>
    <n v="0.97570000000000001"/>
    <n v="0.85299999999999998"/>
    <n v="0.9677"/>
    <n v="0.93440000000000001"/>
    <n v="0.95089999999999997"/>
    <n v="0.92691499999999993"/>
    <n v="0.67982535737574656"/>
    <n v="354000"/>
    <n v="0"/>
    <n v="354000"/>
    <n v="45700"/>
    <n v="399700"/>
    <n v="0.20736698499317871"/>
    <n v="-0.38657718120805368"/>
    <n v="8.7027468044601583E-2"/>
    <n v="0.86294784802777769"/>
  </r>
  <r>
    <n v="2025"/>
    <n v="18131644492"/>
    <n v="-0.96758402626170559"/>
    <n v="0.38"/>
    <n v="16534"/>
    <n v="5"/>
    <s v="RES"/>
    <n v="3042"/>
    <x v="0"/>
    <s v="R1"/>
    <n v="11"/>
    <n v="259"/>
    <s v="RN"/>
    <s v="G"/>
    <s v="GD"/>
    <n v="1956"/>
    <n v="1974"/>
    <x v="6"/>
    <n v="68"/>
    <n v="50"/>
    <n v="1"/>
    <n v="1452"/>
    <n v="0"/>
    <n v="0"/>
    <n v="0"/>
    <n v="0"/>
    <n v="0"/>
    <n v="1452"/>
    <n v="1500"/>
    <n v="2"/>
    <m/>
    <s v="FD"/>
    <s v="G"/>
    <s v="Y"/>
    <n v="0"/>
    <n v="1"/>
    <n v="0"/>
    <n v="0"/>
    <n v="0"/>
    <n v="7"/>
    <n v="528"/>
    <n v="0"/>
    <n v="528"/>
    <n v="0"/>
    <n v="0"/>
    <n v="490"/>
    <n v="490"/>
    <n v="100"/>
    <n v="100"/>
    <n v="337887"/>
    <n v="263552"/>
    <n v="220"/>
    <n v="220"/>
    <n v="0"/>
    <n v="0"/>
    <d v="2023-05-26T00:00:00"/>
    <s v="E040379"/>
    <n v="355000"/>
    <n v="355000"/>
    <s v="SWD"/>
    <n v="30"/>
    <s v="N"/>
    <s v="Y"/>
    <n v="403200"/>
    <n v="105600"/>
    <n v="297600"/>
    <n v="0"/>
    <n v="1.1357746478873239"/>
    <n v="384335.26749735721"/>
    <n v="419130.89929626352"/>
    <n v="3.9511158968907549E-2"/>
    <n v="-34795.64"/>
    <n v="87214.824999999997"/>
    <n v="87214.824999999997"/>
    <n v="-24216.544001337923"/>
    <n v="-14329.694740000001"/>
    <n v="47273.897095"/>
    <n v="12546.845239999999"/>
    <n v="100309.18246800001"/>
    <n v="0"/>
    <n v="0"/>
    <n v="0"/>
    <n v="71085.7"/>
    <n v="25273.623"/>
    <n v="0"/>
    <n v="26758.246416000002"/>
    <n v="384335.26547766209"/>
    <n v="0"/>
    <n v="321300"/>
    <n v="63000"/>
    <n v="384300"/>
    <n v="1.0825352112676057"/>
    <n v="-4.6875E-2"/>
    <n v="0.97570000000000001"/>
    <n v="0.98809999999999998"/>
    <n v="0.97829999999999995"/>
    <n v="1.0062"/>
    <n v="0.95089999999999997"/>
    <n v="0.92691499999999993"/>
    <n v="0.8572984203233398"/>
    <n v="343700"/>
    <n v="0"/>
    <n v="343700"/>
    <n v="58400"/>
    <n v="402100"/>
    <n v="0.15490591397849462"/>
    <n v="-0.44696969696969696"/>
    <n v="-2.728174603174603E-3"/>
    <n v="1.0346601690140844"/>
  </r>
  <r>
    <n v="2025"/>
    <n v="18131533418"/>
    <n v="-1.5606477482646683"/>
    <n v="0.21"/>
    <n v="9154"/>
    <n v="5"/>
    <s v="RES"/>
    <n v="3042"/>
    <x v="0"/>
    <s v="R1"/>
    <n v="11"/>
    <n v="259"/>
    <s v="RN"/>
    <s v="A"/>
    <s v="AV"/>
    <n v="1955"/>
    <n v="1974"/>
    <x v="6"/>
    <n v="69"/>
    <n v="50"/>
    <n v="1"/>
    <n v="1390"/>
    <n v="0"/>
    <n v="0"/>
    <n v="0"/>
    <n v="0"/>
    <n v="0"/>
    <n v="1390"/>
    <n v="1500"/>
    <n v="1"/>
    <m/>
    <s v="BH"/>
    <s v="E"/>
    <m/>
    <n v="0"/>
    <n v="1"/>
    <n v="0"/>
    <n v="0"/>
    <n v="0"/>
    <n v="5"/>
    <n v="273"/>
    <n v="0"/>
    <n v="273"/>
    <n v="0"/>
    <n v="0"/>
    <n v="216"/>
    <n v="0"/>
    <n v="100"/>
    <n v="100"/>
    <n v="224650"/>
    <n v="159502"/>
    <n v="427"/>
    <n v="365"/>
    <n v="62"/>
    <n v="0"/>
    <d v="2022-10-31T00:00:00"/>
    <s v="E038606"/>
    <n v="290000"/>
    <n v="290000"/>
    <s v="SWD"/>
    <n v="30"/>
    <s v="N"/>
    <s v="Y"/>
    <n v="311200"/>
    <n v="71900"/>
    <n v="239300"/>
    <n v="0"/>
    <n v="1.0731034482758621"/>
    <n v="282181.55692122108"/>
    <n v="334011.71147340123"/>
    <n v="7.3302414760286719E-2"/>
    <n v="-51830.168148000004"/>
    <n v="87214.824999999997"/>
    <n v="87214.824999999997"/>
    <n v="-39059.651503814886"/>
    <n v="0"/>
    <n v="0"/>
    <n v="12731.357669999999"/>
    <n v="96026.008010000005"/>
    <n v="0"/>
    <n v="0"/>
    <n v="0"/>
    <n v="50775.5"/>
    <n v="25273.623"/>
    <n v="0"/>
    <n v="13835.229681000001"/>
    <n v="282181.54870918515"/>
    <n v="0"/>
    <n v="234000"/>
    <n v="48200"/>
    <n v="282200"/>
    <n v="0.97310344827586204"/>
    <n v="-9.3187660668380468E-2"/>
    <n v="0.97570000000000001"/>
    <n v="1.0046999999999999"/>
    <n v="0.9677"/>
    <n v="1.0062"/>
    <n v="0.95089999999999997"/>
    <n v="0.92691499999999993"/>
    <n v="0.86225597794706244"/>
    <n v="273800"/>
    <n v="0"/>
    <n v="273800"/>
    <n v="44600"/>
    <n v="318400"/>
    <n v="0.14417049728374426"/>
    <n v="-0.37969401947148818"/>
    <n v="2.313624678663239E-2"/>
    <n v="0.91920631673103437"/>
  </r>
  <r>
    <n v="2025"/>
    <n v="18131641445"/>
    <n v="-0.35667494393873245"/>
    <n v="0.7"/>
    <n v="30362"/>
    <n v="5"/>
    <s v="RES"/>
    <n v="3041"/>
    <x v="0"/>
    <s v="R1"/>
    <n v="11"/>
    <n v="259"/>
    <s v="RN"/>
    <s v="A"/>
    <s v="AV"/>
    <n v="1955"/>
    <n v="1974"/>
    <x v="6"/>
    <n v="69"/>
    <n v="50"/>
    <n v="1"/>
    <n v="1440"/>
    <n v="0"/>
    <n v="0"/>
    <n v="0"/>
    <n v="0"/>
    <n v="0"/>
    <n v="1440"/>
    <n v="1500"/>
    <n v="0"/>
    <m/>
    <s v="FD"/>
    <s v="G"/>
    <s v="Y"/>
    <n v="0"/>
    <n v="1"/>
    <n v="0"/>
    <n v="1"/>
    <n v="0"/>
    <n v="8"/>
    <n v="0"/>
    <n v="0"/>
    <n v="0"/>
    <n v="392"/>
    <n v="0"/>
    <n v="300"/>
    <n v="300"/>
    <n v="100"/>
    <n v="100"/>
    <n v="263052"/>
    <n v="186767"/>
    <n v="363"/>
    <n v="363"/>
    <n v="0"/>
    <n v="0"/>
    <d v="2023-01-03T00:00:00"/>
    <s v="E039160"/>
    <n v="398000"/>
    <n v="388742"/>
    <s v="SWD"/>
    <n v="30"/>
    <s v="N"/>
    <s v="Y"/>
    <n v="399000"/>
    <n v="140300"/>
    <n v="258700"/>
    <n v="9258"/>
    <n v="1.0025125628140703"/>
    <n v="326816.00724894245"/>
    <n v="384228.79971713782"/>
    <n v="-3.7020552087373877E-2"/>
    <n v="-57412.806000000004"/>
    <n v="87214.824999999997"/>
    <n v="87214.824999999997"/>
    <n v="-8926.8055689572302"/>
    <n v="0"/>
    <n v="0"/>
    <n v="12731.357669999999"/>
    <n v="99480.180960000012"/>
    <n v="0"/>
    <n v="0"/>
    <n v="0"/>
    <n v="81240.800000000003"/>
    <n v="25273.623"/>
    <n v="0"/>
    <n v="0"/>
    <n v="326816.00006104278"/>
    <n v="9300"/>
    <n v="248500"/>
    <n v="78300"/>
    <n v="336100"/>
    <n v="0.84447236180904528"/>
    <n v="-0.15764411027568923"/>
    <n v="0.97570000000000001"/>
    <n v="1.0046999999999999"/>
    <n v="0.9677"/>
    <n v="1.0062"/>
    <n v="0.95089999999999997"/>
    <n v="0.92691499999999993"/>
    <n v="0.86225597794706244"/>
    <n v="293900"/>
    <n v="8600"/>
    <n v="302500"/>
    <n v="72600"/>
    <n v="375100"/>
    <n v="0.16930807885581756"/>
    <n v="-0.48253741981468284"/>
    <n v="-5.9899749373433585E-2"/>
    <n v="0.79820903015075384"/>
  </r>
  <r>
    <n v="2025"/>
    <n v="18131644491"/>
    <n v="-1.6607312068216509"/>
    <n v="0.19"/>
    <n v="8250"/>
    <n v="5"/>
    <s v="RES"/>
    <n v="3042"/>
    <x v="0"/>
    <s v="R1"/>
    <n v="11"/>
    <n v="259"/>
    <s v="RN"/>
    <s v="A+"/>
    <s v="AV"/>
    <n v="1955"/>
    <n v="1974"/>
    <x v="6"/>
    <n v="69"/>
    <n v="50"/>
    <n v="1"/>
    <n v="1130"/>
    <n v="0"/>
    <n v="0"/>
    <n v="1130"/>
    <n v="1130"/>
    <n v="0"/>
    <n v="2260"/>
    <n v="2500"/>
    <n v="0"/>
    <m/>
    <s v="FD"/>
    <s v="G"/>
    <m/>
    <n v="0"/>
    <n v="1"/>
    <n v="0"/>
    <n v="0"/>
    <n v="1"/>
    <n v="7"/>
    <n v="0"/>
    <n v="0"/>
    <n v="0"/>
    <n v="0"/>
    <n v="135"/>
    <n v="289"/>
    <n v="56"/>
    <n v="100"/>
    <n v="100"/>
    <n v="301172"/>
    <n v="213832"/>
    <n v="529"/>
    <n v="365"/>
    <n v="164"/>
    <n v="0"/>
    <d v="2022-07-21T00:00:00"/>
    <s v="E037510"/>
    <n v="330000"/>
    <n v="330000"/>
    <s v="SWD"/>
    <n v="30"/>
    <s v="N"/>
    <s v="Y"/>
    <n v="302900"/>
    <n v="66200"/>
    <n v="236700"/>
    <n v="0"/>
    <n v="0.91787878787878785"/>
    <n v="279908.81432046549"/>
    <n v="322034.22519798583"/>
    <n v="6.3170106299061821E-2"/>
    <n v="-42125.424456000008"/>
    <n v="87214.824999999997"/>
    <n v="87214.824999999997"/>
    <n v="-41564.524891726433"/>
    <n v="30313.66692"/>
    <n v="0"/>
    <n v="12731.357669999999"/>
    <n v="78064.308669999999"/>
    <n v="0"/>
    <n v="0"/>
    <n v="32327.783539999997"/>
    <n v="71085.7"/>
    <n v="25273.623"/>
    <n v="0"/>
    <n v="0"/>
    <n v="340536.1404522736"/>
    <n v="0"/>
    <n v="294900"/>
    <n v="45700"/>
    <n v="340600"/>
    <n v="1.0321212121212122"/>
    <n v="0.12446351931330472"/>
    <n v="0.97570000000000001"/>
    <n v="0.85299999999999998"/>
    <n v="0.9677"/>
    <n v="0.93440000000000001"/>
    <n v="0.95089999999999997"/>
    <n v="0.92691499999999993"/>
    <n v="0.67982535737574656"/>
    <n v="309100"/>
    <n v="0"/>
    <n v="309100"/>
    <n v="42300"/>
    <n v="351400"/>
    <n v="0.30587241233629064"/>
    <n v="-0.36102719033232628"/>
    <n v="0.16011885110597557"/>
    <n v="0.93719568346666671"/>
  </r>
  <r>
    <n v="2025"/>
    <n v="18131634418"/>
    <n v="-1.3093333199837622"/>
    <n v="0.27"/>
    <n v="11576"/>
    <n v="5"/>
    <s v="RES"/>
    <n v="3041"/>
    <x v="0"/>
    <s v="R1"/>
    <n v="11"/>
    <n v="259"/>
    <s v="RN"/>
    <s v="G+"/>
    <s v="AV"/>
    <n v="1955"/>
    <n v="1974"/>
    <x v="6"/>
    <n v="69"/>
    <n v="50"/>
    <n v="1"/>
    <n v="2252"/>
    <n v="0"/>
    <n v="0"/>
    <n v="0"/>
    <n v="0"/>
    <n v="0"/>
    <n v="2252"/>
    <n v="2500"/>
    <n v="1"/>
    <m/>
    <s v="FD"/>
    <s v="G"/>
    <s v="Y"/>
    <n v="0"/>
    <n v="3"/>
    <n v="0"/>
    <n v="1"/>
    <n v="0"/>
    <n v="12"/>
    <n v="406"/>
    <n v="0"/>
    <n v="406"/>
    <n v="224"/>
    <n v="0"/>
    <n v="756"/>
    <n v="220"/>
    <n v="100"/>
    <n v="100"/>
    <n v="527057"/>
    <n v="384752"/>
    <n v="832"/>
    <n v="365"/>
    <n v="365"/>
    <n v="102"/>
    <d v="2021-09-21T00:00:00"/>
    <s v="E033239"/>
    <n v="380000"/>
    <n v="380000"/>
    <s v="SWD"/>
    <n v="30"/>
    <s v="N"/>
    <s v="Y"/>
    <n v="508900"/>
    <n v="86200"/>
    <n v="422700"/>
    <n v="0"/>
    <n v="1.3392105263157894"/>
    <n v="492937.01123064104"/>
    <n v="547414.14531504363"/>
    <n v="7.5681165877468315E-2"/>
    <n v="-54477.14271"/>
    <n v="87214.824999999997"/>
    <n v="87214.824999999997"/>
    <n v="-32769.792695222328"/>
    <n v="19189.450408000001"/>
    <n v="0"/>
    <n v="12731.357669999999"/>
    <n v="155575.94966800002"/>
    <n v="0"/>
    <n v="0"/>
    <n v="0"/>
    <n v="121861.20000000001"/>
    <n v="75820.869000000006"/>
    <n v="0"/>
    <n v="20575.469782"/>
    <n v="492937.01112277771"/>
    <n v="0"/>
    <n v="438500"/>
    <n v="54400"/>
    <n v="492900"/>
    <n v="1.2971052631578948"/>
    <n v="-3.1440361564157991E-2"/>
    <n v="0.97570000000000001"/>
    <n v="0.9819"/>
    <n v="0.9677"/>
    <n v="0.93440000000000001"/>
    <n v="0.95089999999999997"/>
    <n v="0.92691499999999993"/>
    <n v="0.78255629356066303"/>
    <n v="474000"/>
    <n v="0"/>
    <n v="474000"/>
    <n v="50500"/>
    <n v="524500"/>
    <n v="0.12136266855926189"/>
    <n v="-0.41415313225058004"/>
    <n v="3.0654352525054038E-2"/>
    <n v="1.2369022560263159"/>
  </r>
  <r>
    <n v="2025"/>
    <n v="18131643424"/>
    <n v="-1.1394342831883648"/>
    <n v="0.32"/>
    <n v="13750"/>
    <n v="5"/>
    <s v="RES"/>
    <n v="3041"/>
    <x v="0"/>
    <s v="R1"/>
    <n v="11"/>
    <n v="259"/>
    <s v="RN"/>
    <s v="G"/>
    <s v="AV"/>
    <n v="1954"/>
    <n v="1974"/>
    <x v="6"/>
    <n v="70"/>
    <n v="50"/>
    <n v="1"/>
    <n v="2065"/>
    <n v="0"/>
    <n v="0"/>
    <n v="0"/>
    <n v="0"/>
    <n v="0"/>
    <n v="2065"/>
    <n v="2500"/>
    <n v="1"/>
    <s v="B"/>
    <s v="HP"/>
    <s v="E"/>
    <m/>
    <n v="0"/>
    <n v="0"/>
    <n v="1"/>
    <n v="1"/>
    <n v="0"/>
    <n v="9"/>
    <n v="624"/>
    <n v="0"/>
    <n v="624"/>
    <n v="0"/>
    <n v="0"/>
    <n v="180"/>
    <n v="372"/>
    <n v="100"/>
    <n v="100"/>
    <n v="408922"/>
    <n v="290335"/>
    <n v="1081"/>
    <n v="365"/>
    <n v="365"/>
    <n v="351"/>
    <d v="2021-01-15T00:00:00"/>
    <s v="E029810"/>
    <n v="310000"/>
    <n v="310000"/>
    <s v="SWD"/>
    <n v="30"/>
    <s v="N"/>
    <s v="Y"/>
    <n v="388400"/>
    <n v="95800"/>
    <n v="292600"/>
    <n v="0"/>
    <n v="1.2529032258064516"/>
    <n v="320950.81904229033"/>
    <n v="452265.87913413648"/>
    <n v="0.16443326244628342"/>
    <n v="-131315.05671"/>
    <n v="87214.824999999997"/>
    <n v="87214.824999999997"/>
    <n v="-28517.585766758784"/>
    <n v="-14329.694740000001"/>
    <n v="0"/>
    <n v="12915.8701"/>
    <n v="142657.34283500002"/>
    <n v="0"/>
    <n v="0"/>
    <n v="0"/>
    <n v="91395.900000000009"/>
    <n v="0"/>
    <n v="42091.021999999997"/>
    <n v="31623.382128000001"/>
    <n v="320950.82984624128"/>
    <n v="0"/>
    <n v="262300"/>
    <n v="58700"/>
    <n v="321000"/>
    <n v="1.0354838709677419"/>
    <n v="-0.17353244078269825"/>
    <n v="0.97570000000000001"/>
    <n v="0.98809999999999998"/>
    <n v="0.9677"/>
    <n v="0.93440000000000001"/>
    <n v="0.95089999999999997"/>
    <n v="0.92691499999999993"/>
    <n v="0.78749757986280788"/>
    <n v="375000"/>
    <n v="0"/>
    <n v="375000"/>
    <n v="54400"/>
    <n v="429400"/>
    <n v="0.28161312371838687"/>
    <n v="-0.43215031315240082"/>
    <n v="0.10556127703398559"/>
    <n v="0.96156433319354828"/>
  </r>
  <r>
    <n v="2025"/>
    <n v="18131634443"/>
    <n v="-0.40047756659712525"/>
    <n v="0.67"/>
    <n v="29246"/>
    <n v="5"/>
    <s v="RES"/>
    <n v="3041"/>
    <x v="0"/>
    <s v="R1"/>
    <n v="11"/>
    <n v="259"/>
    <s v="TD"/>
    <s v="G+"/>
    <s v="AV"/>
    <n v="1954"/>
    <n v="1984"/>
    <x v="6"/>
    <n v="70"/>
    <n v="40"/>
    <n v="1"/>
    <n v="2479"/>
    <n v="0"/>
    <n v="0"/>
    <n v="2480"/>
    <n v="2479"/>
    <n v="1"/>
    <n v="4958"/>
    <n v="5000"/>
    <n v="2"/>
    <m/>
    <s v="HP"/>
    <s v="G"/>
    <m/>
    <n v="0"/>
    <n v="2"/>
    <n v="0"/>
    <n v="2"/>
    <n v="0"/>
    <n v="12"/>
    <n v="1028"/>
    <n v="0"/>
    <n v="1028"/>
    <n v="322"/>
    <n v="756"/>
    <n v="202"/>
    <n v="0"/>
    <n v="100"/>
    <n v="100"/>
    <n v="829387"/>
    <n v="680097"/>
    <n v="805"/>
    <n v="365"/>
    <n v="365"/>
    <n v="75"/>
    <d v="2021-10-18T00:00:00"/>
    <s v="E033667"/>
    <n v="700000"/>
    <n v="673029"/>
    <s v="SWD"/>
    <n v="30"/>
    <s v="N"/>
    <s v="Y"/>
    <n v="662700"/>
    <n v="137800"/>
    <n v="524900"/>
    <n v="26971"/>
    <n v="0.94671428571428573"/>
    <n v="617079.8689110257"/>
    <n v="663225.17969341623"/>
    <n v="7.9248482483209096E-4"/>
    <n v="-46145.32071"/>
    <n v="87214.824999999997"/>
    <n v="87214.824999999997"/>
    <n v="-10023.090863247595"/>
    <n v="19189.450408000001"/>
    <n v="0"/>
    <n v="12915.8701"/>
    <n v="171257.89486100001"/>
    <n v="0"/>
    <n v="0"/>
    <n v="70949.471839999998"/>
    <n v="121861.20000000001"/>
    <n v="50547.245999999999"/>
    <n v="0"/>
    <n v="52097.494916000003"/>
    <n v="617079.86655175244"/>
    <n v="27000"/>
    <n v="539900"/>
    <n v="77200"/>
    <n v="644100"/>
    <n v="0.92014285714285715"/>
    <n v="-2.806699864191942E-2"/>
    <n v="0.97570000000000001"/>
    <n v="0.9819"/>
    <n v="0.9677"/>
    <n v="1.0048999999999999"/>
    <n v="0.95089999999999997"/>
    <n v="0.92691499999999993"/>
    <n v="0.84159976391171898"/>
    <n v="572200"/>
    <n v="25000"/>
    <n v="597200"/>
    <n v="71600"/>
    <n v="668800"/>
    <n v="0.13774052200419126"/>
    <n v="-0.48040638606676345"/>
    <n v="9.2047683718122827E-3"/>
    <n v="0.88950668470000005"/>
  </r>
  <r>
    <n v="2025"/>
    <n v="18131533476"/>
    <n v="-1.1086626245216111"/>
    <n v="0.33"/>
    <n v="14471"/>
    <n v="5"/>
    <s v="RES"/>
    <n v="3042"/>
    <x v="0"/>
    <s v="R1"/>
    <n v="11"/>
    <n v="259"/>
    <s v="TD"/>
    <s v="G"/>
    <s v="AV"/>
    <n v="1953"/>
    <n v="1973"/>
    <x v="7"/>
    <n v="71"/>
    <n v="51"/>
    <n v="1"/>
    <n v="1852"/>
    <n v="0"/>
    <n v="0"/>
    <n v="0"/>
    <n v="0"/>
    <n v="0"/>
    <n v="1852"/>
    <n v="2000"/>
    <n v="0"/>
    <m/>
    <s v="FD"/>
    <s v="G"/>
    <s v="Y"/>
    <n v="0"/>
    <n v="2"/>
    <n v="0"/>
    <n v="1"/>
    <n v="0"/>
    <n v="9"/>
    <n v="0"/>
    <n v="0"/>
    <n v="0"/>
    <n v="0"/>
    <n v="0"/>
    <n v="132"/>
    <n v="132"/>
    <n v="100"/>
    <n v="100"/>
    <n v="358025"/>
    <n v="250618"/>
    <n v="804"/>
    <n v="365"/>
    <n v="365"/>
    <n v="74"/>
    <d v="2021-10-19T00:00:00"/>
    <s v="E033685"/>
    <n v="385000"/>
    <n v="376717"/>
    <s v="SWD"/>
    <n v="30"/>
    <s v="N"/>
    <s v="Y"/>
    <n v="402900"/>
    <n v="97600"/>
    <n v="305300"/>
    <n v="8283"/>
    <n v="1.0464935064935066"/>
    <n v="369501.88067008572"/>
    <n v="415338.6054042537"/>
    <n v="3.0872686533268055E-2"/>
    <n v="-45836.734710000004"/>
    <n v="87214.824999999997"/>
    <n v="87214.824999999997"/>
    <n v="-27747.437432482708"/>
    <n v="-14329.694740000001"/>
    <n v="0"/>
    <n v="13100.382529999999"/>
    <n v="127942.56606800001"/>
    <n v="0"/>
    <n v="0"/>
    <n v="0"/>
    <n v="91395.900000000009"/>
    <n v="50547.245999999999"/>
    <n v="0"/>
    <n v="0"/>
    <n v="369501.8777155173"/>
    <n v="8300"/>
    <n v="310000"/>
    <n v="59500"/>
    <n v="377800"/>
    <n v="0.98129870129870134"/>
    <n v="-6.2298337056341524E-2"/>
    <n v="0.97570000000000001"/>
    <n v="0.98809999999999998"/>
    <n v="0.9677"/>
    <n v="0.99099999999999999"/>
    <n v="1.0236000000000001"/>
    <n v="0.92691499999999993"/>
    <n v="0.89905338872685914"/>
    <n v="347100"/>
    <n v="7700"/>
    <n v="354800"/>
    <n v="55100"/>
    <n v="409900"/>
    <n v="0.16213560432361612"/>
    <n v="-0.43545081967213117"/>
    <n v="1.7374038222884091E-2"/>
    <n v="0.94561887088311691"/>
  </r>
  <r>
    <n v="2025"/>
    <n v="18131644498"/>
    <n v="-1.7147984280919266"/>
    <n v="0.18"/>
    <n v="8004"/>
    <n v="5"/>
    <s v="RES"/>
    <n v="3042"/>
    <x v="0"/>
    <s v="R1"/>
    <n v="11"/>
    <n v="259"/>
    <s v="TD"/>
    <s v="A"/>
    <s v="AV"/>
    <n v="1950"/>
    <n v="1973"/>
    <x v="7"/>
    <n v="74"/>
    <n v="51"/>
    <n v="1"/>
    <n v="1198"/>
    <n v="0"/>
    <n v="0"/>
    <n v="0"/>
    <n v="0"/>
    <n v="0"/>
    <n v="1198"/>
    <n v="1500"/>
    <n v="0"/>
    <m/>
    <s v="HP"/>
    <s v="E"/>
    <s v="N"/>
    <n v="0"/>
    <n v="0"/>
    <n v="0"/>
    <n v="0"/>
    <n v="0"/>
    <n v="8"/>
    <n v="0"/>
    <n v="0"/>
    <n v="0"/>
    <n v="0"/>
    <n v="0"/>
    <n v="0"/>
    <n v="0"/>
    <n v="100"/>
    <n v="100"/>
    <n v="179949"/>
    <n v="125964"/>
    <n v="908"/>
    <n v="365"/>
    <n v="365"/>
    <n v="178"/>
    <d v="2021-07-07T00:00:00"/>
    <s v="E032083"/>
    <n v="270000"/>
    <n v="270000"/>
    <s v="SWD"/>
    <n v="30"/>
    <s v="N"/>
    <s v="Y"/>
    <n v="283300"/>
    <n v="63100"/>
    <n v="220200"/>
    <n v="0"/>
    <n v="1.0492592592592593"/>
    <n v="231238.96209043369"/>
    <n v="309168.63583975879"/>
    <n v="9.1311810235646981E-2"/>
    <n v="-77929.678710000007"/>
    <n v="87214.824999999997"/>
    <n v="87214.824999999997"/>
    <n v="-42917.710979326817"/>
    <n v="0"/>
    <n v="0"/>
    <n v="13653.919819999999"/>
    <n v="82761.983882"/>
    <n v="0"/>
    <n v="0"/>
    <n v="0"/>
    <n v="81240.800000000003"/>
    <n v="0"/>
    <n v="0"/>
    <n v="0"/>
    <n v="231238.96401267318"/>
    <n v="0"/>
    <n v="186900"/>
    <n v="44300"/>
    <n v="231200"/>
    <n v="0.85629629629629633"/>
    <n v="-0.18390398870455349"/>
    <n v="0.97570000000000001"/>
    <n v="1.0046999999999999"/>
    <n v="0.9677"/>
    <n v="1.0062"/>
    <n v="1.0236000000000001"/>
    <n v="0.92691499999999993"/>
    <n v="0.92817879800884751"/>
    <n v="258600"/>
    <n v="0"/>
    <n v="258600"/>
    <n v="41100"/>
    <n v="299700"/>
    <n v="0.17438692098092642"/>
    <n v="-0.34865293185419971"/>
    <n v="5.7889163430991881E-2"/>
    <n v="0.82137156033333325"/>
  </r>
  <r>
    <n v="2025"/>
    <n v="18131744404"/>
    <n v="-0.9942522733438669"/>
    <n v="0.37"/>
    <n v="16220"/>
    <n v="5"/>
    <s v="RES"/>
    <n v="3041"/>
    <x v="0"/>
    <s v="R1"/>
    <n v="11"/>
    <n v="130"/>
    <s v="RN"/>
    <s v="A"/>
    <s v="AV"/>
    <n v="1950"/>
    <n v="1973"/>
    <x v="7"/>
    <n v="74"/>
    <n v="51"/>
    <n v="1"/>
    <n v="1578"/>
    <n v="0"/>
    <n v="0"/>
    <n v="0"/>
    <n v="0"/>
    <n v="0"/>
    <n v="1578"/>
    <n v="2000"/>
    <n v="2"/>
    <s v="S"/>
    <s v="BH"/>
    <s v="E"/>
    <m/>
    <n v="0"/>
    <n v="1"/>
    <n v="0"/>
    <n v="1"/>
    <n v="0"/>
    <n v="8"/>
    <n v="552"/>
    <n v="0"/>
    <n v="552"/>
    <n v="0"/>
    <n v="0"/>
    <n v="0"/>
    <n v="0"/>
    <n v="100"/>
    <n v="100"/>
    <n v="239104"/>
    <n v="167373"/>
    <n v="1085"/>
    <n v="365"/>
    <n v="365"/>
    <n v="355"/>
    <d v="2021-01-11T00:00:00"/>
    <s v="E029732"/>
    <n v="300000"/>
    <n v="300000"/>
    <s v="SWD"/>
    <n v="30"/>
    <s v="N"/>
    <s v="Y"/>
    <n v="377100"/>
    <n v="104100"/>
    <n v="273000"/>
    <n v="0"/>
    <n v="1.2569999999999999"/>
    <n v="274152.81771921995"/>
    <n v="406702.22200395679"/>
    <n v="7.8499660577981412E-2"/>
    <n v="-132549.40071000002"/>
    <n v="87214.824999999997"/>
    <n v="87214.824999999997"/>
    <n v="-24883.992782400208"/>
    <n v="0"/>
    <n v="0"/>
    <n v="13653.919819999999"/>
    <n v="109013.698302"/>
    <n v="0"/>
    <n v="0"/>
    <n v="0"/>
    <n v="81240.800000000003"/>
    <n v="25273.623"/>
    <n v="0"/>
    <n v="27974.530343999999"/>
    <n v="274152.82797359978"/>
    <n v="0"/>
    <n v="211800"/>
    <n v="62300"/>
    <n v="274100"/>
    <n v="0.91366666666666663"/>
    <n v="-0.27313709891275523"/>
    <n v="0.97570000000000001"/>
    <n v="1.0046999999999999"/>
    <n v="0.9677"/>
    <n v="0.99099999999999999"/>
    <n v="1.0236000000000001"/>
    <n v="0.92691499999999993"/>
    <n v="0.91415741286699248"/>
    <n v="336900"/>
    <n v="0"/>
    <n v="336900"/>
    <n v="57800"/>
    <n v="394700"/>
    <n v="0.23406593406593407"/>
    <n v="-0.4447646493756004"/>
    <n v="4.6671970299655266E-2"/>
    <n v="0.87383533096666666"/>
  </r>
  <r>
    <n v="2025"/>
    <n v="18131644502"/>
    <n v="-1.6607312068216509"/>
    <n v="0.19"/>
    <n v="8078"/>
    <n v="5"/>
    <s v="RES"/>
    <n v="3042"/>
    <x v="0"/>
    <s v="R1"/>
    <n v="11"/>
    <n v="259"/>
    <s v="RN"/>
    <s v="A"/>
    <s v="GD"/>
    <n v="1950"/>
    <n v="1973"/>
    <x v="7"/>
    <n v="74"/>
    <n v="51"/>
    <n v="1"/>
    <n v="1403"/>
    <n v="0"/>
    <n v="0"/>
    <n v="0"/>
    <n v="0"/>
    <n v="0"/>
    <n v="1403"/>
    <n v="1500"/>
    <n v="0"/>
    <m/>
    <s v="FD"/>
    <s v="G"/>
    <s v="Y"/>
    <n v="0"/>
    <n v="1"/>
    <n v="0"/>
    <n v="0"/>
    <n v="1"/>
    <n v="7"/>
    <n v="0"/>
    <n v="0"/>
    <n v="0"/>
    <n v="297"/>
    <n v="0"/>
    <n v="232"/>
    <n v="232"/>
    <n v="100"/>
    <n v="100"/>
    <n v="215427"/>
    <n v="168033"/>
    <n v="326"/>
    <n v="326"/>
    <n v="0"/>
    <n v="0"/>
    <d v="2023-02-09T00:00:00"/>
    <s v="E039398"/>
    <n v="290000"/>
    <n v="290000"/>
    <s v="SWD"/>
    <n v="30"/>
    <s v="N"/>
    <s v="Y"/>
    <n v="340200"/>
    <n v="66200"/>
    <n v="274000"/>
    <n v="0"/>
    <n v="1.173103448275862"/>
    <n v="335515.55184078775"/>
    <n v="387076.351688258"/>
    <n v="0.13779056933644326"/>
    <n v="-51560.812000000005"/>
    <n v="87214.824999999997"/>
    <n v="87214.824999999997"/>
    <n v="-41564.524891726433"/>
    <n v="0"/>
    <n v="47273.897095"/>
    <n v="13653.919819999999"/>
    <n v="96924.092977000008"/>
    <n v="0"/>
    <n v="0"/>
    <n v="0"/>
    <n v="71085.7"/>
    <n v="25273.623"/>
    <n v="0"/>
    <n v="0"/>
    <n v="335515.54600027361"/>
    <n v="0"/>
    <n v="289900"/>
    <n v="45700"/>
    <n v="335600"/>
    <n v="1.1572413793103449"/>
    <n v="-1.3521457965902411E-2"/>
    <n v="0.97570000000000001"/>
    <n v="1.0046999999999999"/>
    <n v="0.97829999999999995"/>
    <n v="1.0062"/>
    <n v="1.0236000000000001"/>
    <n v="0.92691499999999993"/>
    <n v="0.93834589035037252"/>
    <n v="336000"/>
    <n v="0"/>
    <n v="336000"/>
    <n v="42300"/>
    <n v="378300"/>
    <n v="0.22627737226277372"/>
    <n v="-0.36102719033232628"/>
    <n v="0.11199294532627865"/>
    <n v="1.1266868551724136"/>
  </r>
  <r>
    <n v="2025"/>
    <n v="18131641438"/>
    <n v="-0.52763274208237199"/>
    <n v="0.59"/>
    <n v="25552"/>
    <n v="5"/>
    <s v="RES"/>
    <n v="3041"/>
    <x v="0"/>
    <s v="R1"/>
    <n v="11"/>
    <n v="259"/>
    <s v="TD"/>
    <s v="G"/>
    <s v="VG"/>
    <n v="1950"/>
    <n v="1983"/>
    <x v="7"/>
    <n v="74"/>
    <n v="41"/>
    <n v="1"/>
    <n v="2133"/>
    <n v="0"/>
    <n v="0"/>
    <n v="1066"/>
    <n v="1066"/>
    <n v="0"/>
    <n v="3199"/>
    <n v="3500"/>
    <n v="2"/>
    <s v="B"/>
    <s v="FD"/>
    <s v="G"/>
    <s v="Y"/>
    <n v="0"/>
    <n v="2"/>
    <n v="0"/>
    <n v="1"/>
    <n v="1"/>
    <n v="18"/>
    <n v="624"/>
    <n v="0"/>
    <n v="624"/>
    <n v="0"/>
    <n v="0"/>
    <n v="480"/>
    <n v="0"/>
    <n v="100"/>
    <n v="100"/>
    <n v="570820"/>
    <n v="502322"/>
    <n v="741"/>
    <n v="365"/>
    <n v="365"/>
    <n v="11"/>
    <d v="2021-12-21T00:00:00"/>
    <s v="E034548"/>
    <n v="775000"/>
    <n v="775000"/>
    <s v="SWD"/>
    <n v="30"/>
    <s v="N"/>
    <s v="Y"/>
    <n v="601200"/>
    <n v="130600"/>
    <n v="470600"/>
    <n v="0"/>
    <n v="0.77574193548387094"/>
    <n v="683524.21401134622"/>
    <n v="709920.01770748617"/>
    <n v="0.18083835280686322"/>
    <n v="-26395.816710000003"/>
    <n v="87214.824999999997"/>
    <n v="87214.824999999997"/>
    <n v="-13205.511013395326"/>
    <n v="-14329.694740000001"/>
    <n v="106557.38887"/>
    <n v="13653.919819999999"/>
    <n v="147355.01804700002"/>
    <n v="0"/>
    <n v="0"/>
    <n v="30496.829427999997"/>
    <n v="182791.80000000002"/>
    <n v="50547.245999999999"/>
    <n v="0"/>
    <n v="31623.382128000001"/>
    <n v="683524.21182960481"/>
    <n v="0"/>
    <n v="609500"/>
    <n v="74000"/>
    <n v="683500"/>
    <n v="0.88193548387096776"/>
    <n v="0.13689288090485696"/>
    <n v="0.97570000000000001"/>
    <n v="0.98809999999999998"/>
    <n v="0.9748"/>
    <n v="0.99619999999999997"/>
    <n v="1.0236000000000001"/>
    <n v="0.92691499999999993"/>
    <n v="0.91040187752215396"/>
    <n v="628100"/>
    <n v="0"/>
    <n v="628100"/>
    <n v="68600"/>
    <n v="696700"/>
    <n v="0.33467913302167446"/>
    <n v="-0.47473200612557426"/>
    <n v="0.15884896872920826"/>
    <n v="0.86490862359999998"/>
  </r>
  <r>
    <n v="2025"/>
    <n v="18131533500"/>
    <n v="-0.94160853985844495"/>
    <n v="0.39"/>
    <n v="0"/>
    <n v="5"/>
    <s v="RES"/>
    <n v="3042"/>
    <x v="0"/>
    <s v="R1"/>
    <n v="11"/>
    <n v="259"/>
    <s v="BG"/>
    <s v="A"/>
    <s v="GD"/>
    <n v="1945"/>
    <n v="1972"/>
    <x v="7"/>
    <n v="79"/>
    <n v="52"/>
    <n v="2"/>
    <n v="1144"/>
    <n v="300"/>
    <n v="0"/>
    <n v="464"/>
    <n v="116"/>
    <n v="348"/>
    <n v="1560"/>
    <n v="2000"/>
    <n v="0"/>
    <m/>
    <s v="FD"/>
    <s v="O"/>
    <s v="N"/>
    <n v="0"/>
    <n v="0"/>
    <n v="0"/>
    <n v="1"/>
    <n v="0"/>
    <n v="8"/>
    <n v="0"/>
    <n v="0"/>
    <n v="0"/>
    <n v="0"/>
    <n v="150"/>
    <n v="0"/>
    <n v="36"/>
    <n v="100"/>
    <n v="100"/>
    <n v="220601"/>
    <n v="169863"/>
    <n v="791"/>
    <n v="365"/>
    <n v="365"/>
    <n v="61"/>
    <d v="2021-11-01T00:00:00"/>
    <s v="E033932"/>
    <n v="369000"/>
    <n v="336494"/>
    <s v="SWD"/>
    <n v="30"/>
    <s v="N"/>
    <s v="Y"/>
    <n v="452900"/>
    <n v="144900"/>
    <n v="308000"/>
    <n v="32506"/>
    <n v="1.2273712737127371"/>
    <n v="362790.42986986547"/>
    <n v="404615.53597713879"/>
    <n v="-0.10661175540486026"/>
    <n v="-41825.116710000002"/>
    <n v="87214.824999999997"/>
    <n v="87214.824999999997"/>
    <n v="-23566.433527862024"/>
    <n v="0"/>
    <n v="47273.897095"/>
    <n v="14576.481969999999"/>
    <n v="79031.477096000002"/>
    <n v="18355.252500000002"/>
    <n v="0"/>
    <n v="13274.417312"/>
    <n v="81240.800000000003"/>
    <n v="0"/>
    <n v="0"/>
    <n v="0"/>
    <n v="362790.42573513795"/>
    <n v="32500"/>
    <n v="299100"/>
    <n v="63600"/>
    <n v="395200"/>
    <n v="1.0710027100271002"/>
    <n v="-0.12740119231618457"/>
    <n v="0.97570000000000001"/>
    <n v="1.0046999999999999"/>
    <n v="0.97829999999999995"/>
    <n v="0.99099999999999999"/>
    <n v="1.0236000000000001"/>
    <n v="0.92691499999999993"/>
    <n v="0.92417091764780279"/>
    <n v="334400"/>
    <n v="30100"/>
    <n v="364500"/>
    <n v="59000"/>
    <n v="423500"/>
    <n v="0.18344155844155843"/>
    <n v="-0.59282263630089715"/>
    <n v="-6.4914992272024727E-2"/>
    <n v="1.0343492772086722"/>
  </r>
  <r>
    <n v="2025"/>
    <n v="18131534013"/>
    <n v="-0.57981849525294205"/>
    <n v="0.56000000000000005"/>
    <n v="24204"/>
    <n v="5"/>
    <s v="RES"/>
    <n v="3042"/>
    <x v="0"/>
    <s v="R2"/>
    <n v="11"/>
    <n v="259"/>
    <s v="CO"/>
    <s v="A+"/>
    <s v="AV"/>
    <n v="1935"/>
    <n v="1971"/>
    <x v="8"/>
    <n v="89"/>
    <n v="53"/>
    <n v="2"/>
    <n v="876"/>
    <n v="292"/>
    <n v="0"/>
    <n v="652"/>
    <n v="652"/>
    <n v="0"/>
    <n v="1820"/>
    <n v="2000"/>
    <n v="0"/>
    <m/>
    <s v="FD"/>
    <s v="G"/>
    <s v="Y"/>
    <n v="0"/>
    <n v="1"/>
    <n v="0"/>
    <n v="0"/>
    <n v="0"/>
    <n v="6"/>
    <n v="0"/>
    <n v="0"/>
    <n v="0"/>
    <n v="0"/>
    <n v="180"/>
    <n v="864"/>
    <n v="99"/>
    <n v="100"/>
    <n v="100"/>
    <n v="265587"/>
    <n v="180599"/>
    <n v="860"/>
    <n v="365"/>
    <n v="365"/>
    <n v="130"/>
    <d v="2021-08-24T00:00:00"/>
    <s v="E032798"/>
    <n v="347500"/>
    <n v="340567"/>
    <s v="SWD"/>
    <n v="30"/>
    <s v="N"/>
    <s v="Y"/>
    <n v="371100"/>
    <n v="127600"/>
    <n v="243500"/>
    <n v="6933"/>
    <n v="1.0679136690647482"/>
    <n v="266148.38991828944"/>
    <n v="329265.93335292663"/>
    <n v="-0.11272990204007914"/>
    <n v="-63117.550710000003"/>
    <n v="87214.824999999997"/>
    <n v="87214.824999999997"/>
    <n v="-14511.608007142366"/>
    <n v="30313.66692"/>
    <n v="0"/>
    <n v="16421.60627"/>
    <n v="60517.110084000007"/>
    <n v="17865.7791"/>
    <n v="0"/>
    <n v="18652.845015999999"/>
    <n v="60930.600000000006"/>
    <n v="25273.623"/>
    <n v="0"/>
    <n v="0"/>
    <n v="326775.72167285765"/>
    <n v="6900"/>
    <n v="254100"/>
    <n v="72700"/>
    <n v="333700"/>
    <n v="0.96028776978417263"/>
    <n v="-0.10078146052277014"/>
    <n v="0.97570000000000001"/>
    <n v="0.85299999999999998"/>
    <n v="0.9677"/>
    <n v="0.99099999999999999"/>
    <n v="1.0414000000000001"/>
    <n v="0.92691499999999993"/>
    <n v="0.78962503712524967"/>
    <n v="298800"/>
    <n v="6400"/>
    <n v="305200"/>
    <n v="67400"/>
    <n v="372600"/>
    <n v="0.253388090349076"/>
    <n v="-0.47178683385579939"/>
    <n v="4.0420371867421184E-3"/>
    <n v="0.89059697637410074"/>
  </r>
  <r>
    <n v="2025"/>
    <n v="17132414415"/>
    <n v="8.6177696241052412E-2"/>
    <n v="1.0900000000000001"/>
    <n v="47298"/>
    <n v="1"/>
    <s v="RES"/>
    <n v="3042"/>
    <x v="0"/>
    <s v="R1"/>
    <n v="11"/>
    <m/>
    <s v="TD"/>
    <s v="A"/>
    <s v="GD"/>
    <n v="1930"/>
    <n v="1970"/>
    <x v="9"/>
    <n v="94"/>
    <n v="54"/>
    <n v="1"/>
    <n v="1008"/>
    <n v="0"/>
    <n v="0"/>
    <n v="504"/>
    <n v="0"/>
    <n v="504"/>
    <n v="1008"/>
    <n v="1500"/>
    <n v="0"/>
    <m/>
    <s v="FD"/>
    <s v="G"/>
    <s v="Y"/>
    <n v="0"/>
    <n v="0"/>
    <n v="0"/>
    <n v="1"/>
    <n v="0"/>
    <n v="8"/>
    <n v="0"/>
    <n v="0"/>
    <n v="0"/>
    <n v="0"/>
    <n v="632"/>
    <n v="0"/>
    <n v="0"/>
    <n v="100"/>
    <n v="100"/>
    <n v="191535"/>
    <n v="143651"/>
    <n v="445"/>
    <n v="365"/>
    <n v="80"/>
    <n v="0"/>
    <d v="2022-10-13T00:00:00"/>
    <s v="E038391"/>
    <n v="320000"/>
    <n v="320000"/>
    <s v="RC"/>
    <n v="30"/>
    <s v="N"/>
    <s v="Y"/>
    <n v="456600"/>
    <n v="165400"/>
    <n v="291200"/>
    <n v="0"/>
    <n v="1.4268749999999999"/>
    <n v="356382.68914177961"/>
    <n v="406500.24186901975"/>
    <n v="-0.10972351758865583"/>
    <n v="-50117.566320000005"/>
    <n v="87214.824999999997"/>
    <n v="87214.824999999997"/>
    <n v="2156.8421101558388"/>
    <n v="0"/>
    <n v="47273.897095"/>
    <n v="17344.168419999998"/>
    <n v="69636.126671999999"/>
    <n v="0"/>
    <n v="0"/>
    <n v="14418.763631999998"/>
    <n v="81240.800000000003"/>
    <n v="0"/>
    <n v="0"/>
    <n v="0"/>
    <n v="356382.68160915584"/>
    <n v="0"/>
    <n v="267000"/>
    <n v="89400"/>
    <n v="356400"/>
    <n v="1.11375"/>
    <n v="-0.21944809461235218"/>
    <n v="0.97570000000000001"/>
    <n v="1.0046999999999999"/>
    <n v="0.97829999999999995"/>
    <n v="1.0062"/>
    <n v="0.89649999999999996"/>
    <n v="0.92691499999999993"/>
    <n v="0.82183185883070431"/>
    <n v="301600"/>
    <n v="0"/>
    <n v="301600"/>
    <n v="82800"/>
    <n v="384400"/>
    <n v="3.5714285714285712E-2"/>
    <n v="-0.49939540507859737"/>
    <n v="-0.15812527376259308"/>
    <n v="1.0446326052500001"/>
  </r>
  <r>
    <n v="2025"/>
    <n v="18131744405"/>
    <n v="-0.4780358009429998"/>
    <n v="0.62"/>
    <n v="27029"/>
    <n v="5"/>
    <s v="RES"/>
    <n v="3041"/>
    <x v="0"/>
    <s v="R1"/>
    <n v="11"/>
    <m/>
    <s v="TD"/>
    <s v="A+"/>
    <s v="AV"/>
    <n v="1928"/>
    <n v="1969"/>
    <x v="9"/>
    <n v="96"/>
    <n v="55"/>
    <n v="1"/>
    <n v="1386"/>
    <n v="0"/>
    <n v="0"/>
    <n v="1072"/>
    <n v="1072"/>
    <n v="0"/>
    <n v="2458"/>
    <n v="2500"/>
    <n v="0"/>
    <m/>
    <s v="FD"/>
    <s v="G"/>
    <s v="Y"/>
    <n v="0"/>
    <n v="0"/>
    <n v="0"/>
    <n v="1"/>
    <n v="0"/>
    <n v="5"/>
    <n v="0"/>
    <n v="0"/>
    <n v="0"/>
    <n v="0"/>
    <n v="320"/>
    <n v="0"/>
    <n v="0"/>
    <n v="100"/>
    <n v="100"/>
    <n v="333525"/>
    <n v="220127"/>
    <n v="790"/>
    <n v="365"/>
    <n v="365"/>
    <n v="60"/>
    <d v="2021-11-02T00:00:00"/>
    <s v="E033928"/>
    <n v="335000"/>
    <n v="315711"/>
    <s v="SWD"/>
    <n v="30"/>
    <s v="N"/>
    <s v="Y"/>
    <n v="385100"/>
    <n v="133400"/>
    <n v="251700"/>
    <n v="19289"/>
    <n v="1.1495522388059702"/>
    <n v="285542.10074967396"/>
    <n v="327058.62080872461"/>
    <n v="-0.15071768161847673"/>
    <n v="-41516.530710000006"/>
    <n v="87214.824999999997"/>
    <n v="87214.824999999997"/>
    <n v="-11964.206408488055"/>
    <n v="30313.66692"/>
    <n v="0"/>
    <n v="17713.19328"/>
    <n v="95749.674174"/>
    <n v="0"/>
    <n v="0"/>
    <n v="30668.481376"/>
    <n v="50775.5"/>
    <n v="0"/>
    <n v="0"/>
    <n v="0"/>
    <n v="346169.42863151192"/>
    <n v="19300"/>
    <n v="270900"/>
    <n v="75300"/>
    <n v="365500"/>
    <n v="1.0910447761194031"/>
    <n v="-5.0895871202285121E-2"/>
    <n v="0.97570000000000001"/>
    <n v="0.85299999999999998"/>
    <n v="0.9677"/>
    <n v="0.93440000000000001"/>
    <n v="0.89649999999999996"/>
    <n v="0.92691499999999993"/>
    <n v="0.64093325574440718"/>
    <n v="281100"/>
    <n v="17900"/>
    <n v="299000"/>
    <n v="69800"/>
    <n v="368800"/>
    <n v="0.18792212951926898"/>
    <n v="-0.47676161919040477"/>
    <n v="-4.2326668397818748E-2"/>
    <n v="0.97696557997014921"/>
  </r>
  <r>
    <n v="2025"/>
    <n v="18131534012"/>
    <n v="-0.6348782724359695"/>
    <n v="0.53"/>
    <n v="22885"/>
    <n v="5"/>
    <s v="RES"/>
    <s v="YN1"/>
    <x v="0"/>
    <s v="R2"/>
    <n v="11"/>
    <n v="259"/>
    <s v="CO"/>
    <s v="A"/>
    <s v="AV"/>
    <n v="1925"/>
    <n v="1968"/>
    <x v="9"/>
    <n v="99"/>
    <n v="56"/>
    <n v="2"/>
    <n v="1232"/>
    <n v="400"/>
    <n v="0"/>
    <n v="950"/>
    <n v="475"/>
    <n v="475"/>
    <n v="2107"/>
    <n v="2500"/>
    <n v="0"/>
    <m/>
    <s v="FD"/>
    <s v="G"/>
    <s v="Y"/>
    <n v="0"/>
    <n v="1"/>
    <n v="0"/>
    <n v="1"/>
    <n v="1"/>
    <n v="10"/>
    <n v="0"/>
    <n v="0"/>
    <n v="0"/>
    <n v="0"/>
    <n v="224"/>
    <n v="0"/>
    <n v="0"/>
    <n v="100"/>
    <n v="100"/>
    <n v="285753"/>
    <n v="185739"/>
    <n v="75"/>
    <n v="75"/>
    <n v="0"/>
    <n v="0"/>
    <d v="2023-10-18T00:00:00"/>
    <s v="E041800"/>
    <n v="386000"/>
    <n v="373825"/>
    <s v="SWD"/>
    <n v="30"/>
    <s v="N"/>
    <s v="Y"/>
    <n v="412700"/>
    <n v="124500"/>
    <n v="288200"/>
    <n v="12175"/>
    <n v="1.0691709844559585"/>
    <n v="428531.93028456531"/>
    <n v="440394.07748873794"/>
    <n v="6.7104621974165099E-2"/>
    <n v="-11862.15"/>
    <n v="87214.824999999997"/>
    <n v="87214.824999999997"/>
    <n v="-15889.63563127349"/>
    <n v="0"/>
    <n v="0"/>
    <n v="18266.73057"/>
    <n v="85110.821488000001"/>
    <n v="24473.670000000002"/>
    <n v="0"/>
    <n v="27178.2251"/>
    <n v="101551"/>
    <n v="25273.623"/>
    <n v="0"/>
    <n v="0"/>
    <n v="428531.93452672649"/>
    <n v="12200"/>
    <n v="357200"/>
    <n v="71300"/>
    <n v="440700"/>
    <n v="1.1417098445595855"/>
    <n v="6.7845892900411917E-2"/>
    <n v="0.97570000000000001"/>
    <n v="1.0046999999999999"/>
    <n v="0.9677"/>
    <n v="0.93440000000000001"/>
    <n v="0.89649999999999996"/>
    <n v="0.92691499999999993"/>
    <n v="0.75491868938617335"/>
    <n v="347700"/>
    <n v="11300"/>
    <n v="359000"/>
    <n v="66100"/>
    <n v="425100"/>
    <n v="0.24566273421235255"/>
    <n v="-0.46907630522088356"/>
    <n v="3.0046038284468137E-2"/>
    <n v="1.0705643782383418"/>
  </r>
  <r>
    <n v="2025"/>
    <n v="18131633402"/>
    <n v="-0.77652878949899629"/>
    <n v="0.46"/>
    <n v="20077"/>
    <n v="5"/>
    <s v="RES"/>
    <n v="3041"/>
    <x v="0"/>
    <s v="R1"/>
    <n v="11"/>
    <n v="259"/>
    <s v="TD"/>
    <s v="A+"/>
    <s v="AV"/>
    <n v="1923"/>
    <n v="1967"/>
    <x v="10"/>
    <n v="101"/>
    <n v="57"/>
    <n v="1"/>
    <n v="1398"/>
    <n v="0"/>
    <n v="0"/>
    <n v="1398"/>
    <n v="1298"/>
    <n v="100"/>
    <n v="2696"/>
    <n v="3000"/>
    <n v="0"/>
    <m/>
    <s v="FD"/>
    <s v="G"/>
    <s v="Y"/>
    <n v="0"/>
    <n v="1"/>
    <n v="0"/>
    <n v="1"/>
    <n v="0"/>
    <n v="12"/>
    <n v="0"/>
    <n v="0"/>
    <n v="0"/>
    <n v="0"/>
    <n v="0"/>
    <n v="765"/>
    <n v="405"/>
    <n v="100"/>
    <n v="100"/>
    <n v="371543"/>
    <n v="237788"/>
    <n v="385"/>
    <n v="365"/>
    <n v="20"/>
    <n v="0"/>
    <d v="2022-12-12T00:00:00"/>
    <s v="E038998"/>
    <n v="314720"/>
    <n v="309978"/>
    <s v="SWD"/>
    <n v="30"/>
    <s v="N"/>
    <s v="Y"/>
    <n v="384500"/>
    <n v="116400"/>
    <n v="268100"/>
    <n v="4742"/>
    <n v="1.2217208947635994"/>
    <n v="371199.06477821595"/>
    <n v="427025.290255256"/>
    <n v="0.11059893434396878"/>
    <n v="-55826.239080000007"/>
    <n v="87214.824999999997"/>
    <n v="87214.824999999997"/>
    <n v="-19434.842958147296"/>
    <n v="30313.66692"/>
    <n v="0"/>
    <n v="18635.755430000001"/>
    <n v="96578.675682000001"/>
    <n v="0"/>
    <n v="0"/>
    <n v="39994.903883999999"/>
    <n v="121861.20000000001"/>
    <n v="25273.623"/>
    <n v="0"/>
    <n v="0"/>
    <n v="431826.39287785272"/>
    <n v="4700"/>
    <n v="364000"/>
    <n v="67800"/>
    <n v="436500"/>
    <n v="1.3869471276054905"/>
    <n v="0.1352405721716515"/>
    <n v="0.97570000000000001"/>
    <n v="0.85299999999999998"/>
    <n v="0.9677"/>
    <n v="0.93310000000000004"/>
    <n v="0.82369999999999999"/>
    <n v="0.92691499999999993"/>
    <n v="0.58806717429015121"/>
    <n v="383900"/>
    <n v="4400"/>
    <n v="388300"/>
    <n v="62800"/>
    <n v="451100"/>
    <n v="0.44834017157776951"/>
    <n v="-0.46048109965635736"/>
    <n v="0.17321196358907673"/>
    <n v="1.2559537395780376"/>
  </r>
  <r>
    <n v="2025"/>
    <n v="18131633402"/>
    <n v="-0.77652878949899629"/>
    <n v="0.46"/>
    <n v="20077"/>
    <n v="5"/>
    <s v="RES"/>
    <n v="3041"/>
    <x v="0"/>
    <s v="R1"/>
    <n v="11"/>
    <n v="259"/>
    <s v="TD"/>
    <s v="A+"/>
    <s v="AV"/>
    <n v="1923"/>
    <n v="1967"/>
    <x v="10"/>
    <n v="101"/>
    <n v="57"/>
    <n v="1"/>
    <n v="1398"/>
    <n v="0"/>
    <n v="0"/>
    <n v="1398"/>
    <n v="1298"/>
    <n v="100"/>
    <n v="2696"/>
    <n v="3000"/>
    <n v="0"/>
    <m/>
    <s v="FD"/>
    <s v="G"/>
    <s v="Y"/>
    <n v="0"/>
    <n v="1"/>
    <n v="0"/>
    <n v="1"/>
    <n v="0"/>
    <n v="12"/>
    <n v="0"/>
    <n v="0"/>
    <n v="0"/>
    <n v="0"/>
    <n v="0"/>
    <n v="765"/>
    <n v="405"/>
    <n v="100"/>
    <n v="100"/>
    <n v="371543"/>
    <n v="237788"/>
    <n v="248"/>
    <n v="248"/>
    <n v="0"/>
    <n v="0"/>
    <d v="2023-04-28T00:00:00"/>
    <s v="E040104"/>
    <n v="341000"/>
    <n v="336258"/>
    <s v="SWD"/>
    <n v="30"/>
    <s v="N"/>
    <s v="Y"/>
    <n v="384500"/>
    <n v="116400"/>
    <n v="268100"/>
    <n v="4742"/>
    <n v="1.1275659824046922"/>
    <n v="387801.12350012525"/>
    <n v="427025.290255256"/>
    <n v="0.11059893434396878"/>
    <n v="-39224.175999999999"/>
    <n v="87214.824999999997"/>
    <n v="87214.824999999997"/>
    <n v="-19434.842958147296"/>
    <n v="30313.66692"/>
    <n v="0"/>
    <n v="18635.755430000001"/>
    <n v="96578.675682000001"/>
    <n v="0"/>
    <n v="0"/>
    <n v="39994.903883999999"/>
    <n v="121861.20000000001"/>
    <n v="25273.623"/>
    <n v="0"/>
    <n v="0"/>
    <n v="448428.45595785271"/>
    <n v="4700"/>
    <n v="380600"/>
    <n v="67800"/>
    <n v="453100"/>
    <n v="1.3287390029325514"/>
    <n v="0.17841352405721717"/>
    <n v="0.97570000000000001"/>
    <n v="0.85299999999999998"/>
    <n v="0.9677"/>
    <n v="0.93310000000000004"/>
    <n v="0.82369999999999999"/>
    <n v="0.92691499999999993"/>
    <n v="0.58806717429015121"/>
    <n v="383900"/>
    <n v="4400"/>
    <n v="388300"/>
    <n v="62800"/>
    <n v="451100"/>
    <n v="0.44834017157776951"/>
    <n v="-0.46048109965635736"/>
    <n v="0.17321196358907673"/>
    <n v="1.2078469912023462"/>
  </r>
  <r>
    <n v="2025"/>
    <n v="18131533026"/>
    <n v="-1.8325814637483102"/>
    <n v="0.16"/>
    <n v="7054"/>
    <n v="5"/>
    <s v="RES"/>
    <n v="3042"/>
    <x v="0"/>
    <s v="R1"/>
    <n v="11"/>
    <n v="259"/>
    <s v="TD"/>
    <s v="A"/>
    <s v="AV"/>
    <n v="1920"/>
    <n v="1966"/>
    <x v="10"/>
    <n v="104"/>
    <n v="58"/>
    <n v="1"/>
    <n v="1008"/>
    <n v="0"/>
    <n v="0"/>
    <n v="1008"/>
    <n v="504"/>
    <n v="504"/>
    <n v="1512"/>
    <n v="2000"/>
    <n v="0"/>
    <m/>
    <s v="HP"/>
    <s v="G"/>
    <m/>
    <n v="0"/>
    <n v="1"/>
    <n v="0"/>
    <n v="1"/>
    <n v="0"/>
    <n v="8"/>
    <n v="0"/>
    <n v="0"/>
    <n v="0"/>
    <n v="0"/>
    <n v="0"/>
    <n v="0"/>
    <n v="0"/>
    <n v="100"/>
    <n v="100"/>
    <n v="220588"/>
    <n v="138970"/>
    <n v="356"/>
    <n v="356"/>
    <n v="0"/>
    <n v="0"/>
    <d v="2023-01-10T00:00:00"/>
    <s v="E039262"/>
    <n v="320000"/>
    <n v="320000"/>
    <s v="SWD"/>
    <n v="30"/>
    <s v="N"/>
    <s v="Y"/>
    <n v="281500"/>
    <n v="56400"/>
    <n v="225100"/>
    <n v="0"/>
    <n v="0.87968749999999996"/>
    <n v="296435.78784942767"/>
    <n v="352741.44657856692"/>
    <n v="0.25307796297892332"/>
    <n v="-56305.671999999999"/>
    <n v="87214.824999999997"/>
    <n v="87214.824999999997"/>
    <n v="-45865.56665714729"/>
    <n v="0"/>
    <n v="0"/>
    <n v="19189.292719999998"/>
    <n v="69636.126671999999"/>
    <n v="0"/>
    <n v="0"/>
    <n v="28837.527263999997"/>
    <n v="81240.800000000003"/>
    <n v="25273.623"/>
    <n v="0"/>
    <n v="0"/>
    <n v="296435.78099885274"/>
    <n v="0"/>
    <n v="255100"/>
    <n v="41300"/>
    <n v="296400"/>
    <n v="0.92625000000000002"/>
    <n v="5.2930728241563058E-2"/>
    <n v="0.97570000000000001"/>
    <n v="1.0046999999999999"/>
    <n v="0.9677"/>
    <n v="0.99099999999999999"/>
    <n v="0.82369999999999999"/>
    <n v="0.92691499999999993"/>
    <n v="0.7356305793068989"/>
    <n v="288300"/>
    <n v="0"/>
    <n v="288300"/>
    <n v="38300"/>
    <n v="326600"/>
    <n v="0.28076410484229231"/>
    <n v="-0.32092198581560283"/>
    <n v="0.16021314387211369"/>
    <n v="0.844669774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2C702C-1662-46EC-939E-FB6A48662AB0}" name="PivotTable4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ales">
  <location ref="A3:C15" firstHeaderRow="0" firstDataRow="1" firstDataCol="1"/>
  <pivotFields count="109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7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arcel" fld="1" subtotal="count" baseField="8" baseItem="0"/>
    <dataField name="Average of Unadj Ratio " fld="91" subtotal="average" baseField="0" baseItem="0"/>
  </dataFields>
  <formats count="5">
    <format dxfId="69">
      <pivotArea field="8" type="button" dataOnly="0" labelOnly="1" outline="0"/>
    </format>
    <format dxfId="6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7">
      <pivotArea field="8" type="button" dataOnly="0" labelOnly="1" outline="0"/>
    </format>
    <format dxfId="6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5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379350-9963-40A3-A772-399EE342444F}" name="Sales" displayName="Sales" ref="A1:DE192" totalsRowShown="0">
  <autoFilter ref="A1:DE192" xr:uid="{7A379350-9963-40A3-A772-399EE342444F}"/>
  <sortState xmlns:xlrd2="http://schemas.microsoft.com/office/spreadsheetml/2017/richdata2" ref="A2:DE192">
    <sortCondition ref="S1:S192"/>
  </sortState>
  <tableColumns count="109">
    <tableColumn id="1" xr3:uid="{856D246D-50FE-406C-AB48-F47B104F17CA}" name="Year"/>
    <tableColumn id="2" xr3:uid="{258FE24F-55E6-405C-81B6-1861860F91CC}" name="Parcel"/>
    <tableColumn id="3" xr3:uid="{CDB0AE78-5F06-4566-BD19-9749E2C0CAF8}" name="LnAcres"/>
    <tableColumn id="4" xr3:uid="{6976386A-34A2-4195-A935-41ADCAFABEB2}" name="Acres"/>
    <tableColumn id="5" xr3:uid="{4604274A-C8BA-4277-9F6B-2D73DF286D0F}" name="Sqft"/>
    <tableColumn id="6" xr3:uid="{8E78E6B5-09EE-4F54-B740-CFB735B58140}" name="Cycle"/>
    <tableColumn id="7" xr3:uid="{6A2FAE71-8F17-4FAF-85CC-D152EBEA3324}" name="Type"/>
    <tableColumn id="8" xr3:uid="{1430F3E7-F016-496E-A40B-4D36BDC808F8}" name="Nbhd"/>
    <tableColumn id="9" xr3:uid="{052E1B2F-0C59-4B7A-B26A-BA73960EBFA1}" name="TNbhd"/>
    <tableColumn id="10" xr3:uid="{018C1A7E-A028-4F6F-9258-2BA0CD6692FB}" name="Zone"/>
    <tableColumn id="11" xr3:uid="{58681008-57F7-4D5E-8AEE-4A5D1B5DF814}" name="Use"/>
    <tableColumn id="12" xr3:uid="{21ABAF63-F20A-44A9-914C-C78C9C3C1AE5}" name="Subtype"/>
    <tableColumn id="13" xr3:uid="{799A1085-9DAB-4762-B85F-F47D4B4A9ACA}" name="Style"/>
    <tableColumn id="14" xr3:uid="{82736449-4BEE-461F-98B1-C2B8D9F7A27F}" name="Qlty"/>
    <tableColumn id="15" xr3:uid="{948EC7A1-B36D-4364-999B-ABC25EDA03B2}" name="Cnd"/>
    <tableColumn id="16" xr3:uid="{1C2CF25E-8F94-4472-8E92-6C9E5180619C}" name="YrBlt"/>
    <tableColumn id="17" xr3:uid="{F8559D99-784F-40DC-969C-FF36C445FC8F}" name="EffYr"/>
    <tableColumn id="18" xr3:uid="{264E4E1D-3D05-45CE-9CC6-D2E001436330}" name="Decade"/>
    <tableColumn id="19" xr3:uid="{D9060776-6C12-4318-8AF6-8594275CACFB}" name="Age"/>
    <tableColumn id="20" xr3:uid="{4BF47768-BC85-444B-8300-012DDE69342B}" name="EffAge"/>
    <tableColumn id="21" xr3:uid="{4D568D3C-9CDC-468A-8856-256FEE7C60CB}" name="#Stories"/>
    <tableColumn id="22" xr3:uid="{15886355-BDFB-48A9-90FA-23F1CA79FF79}" name="MainFn"/>
    <tableColumn id="23" xr3:uid="{4577B4D8-45AD-4835-B673-199F8191E9BE}" name="UpprFn"/>
    <tableColumn id="24" xr3:uid="{E876B2AE-0654-4703-9F4B-6FF9973180E8}" name="AddFn"/>
    <tableColumn id="25" xr3:uid="{2A03847D-13E7-4BB5-A23E-DDC6D2640F9A}" name="Bsmt"/>
    <tableColumn id="26" xr3:uid="{7DE445C3-DB90-462A-9D95-89D440D5F8E1}" name="FnBsmt"/>
    <tableColumn id="27" xr3:uid="{67CC5D9D-37DB-4A5E-B10F-1E53ED7CB8E5}" name="UnfinBsmt"/>
    <tableColumn id="28" xr3:uid="{AB6452AA-12BA-4869-BD42-85554BF37F0B}" name="Living Area"/>
    <tableColumn id="29" xr3:uid="{F7183D36-B2A6-4C78-9CC1-1BD3B81057B8}" name="LivArea Range"/>
    <tableColumn id="30" xr3:uid="{6A3B6CB6-F0A4-468A-A74C-D11BB9FFDE15}" name="GarSpace"/>
    <tableColumn id="31" xr3:uid="{6020DE9C-9DE7-48A5-A72D-2143B371FAEE}" name="MsnryTrim"/>
    <tableColumn id="32" xr3:uid="{220B2858-6AF3-4AC9-865F-CD1399E8C85C}" name="Heat"/>
    <tableColumn id="33" xr3:uid="{1797589E-FF45-4309-9E4B-A954B635E5C7}" name="Fuel"/>
    <tableColumn id="34" xr3:uid="{EB867FF5-1745-45F3-B342-7BC194876879}" name="AC"/>
    <tableColumn id="35" xr3:uid="{A51E84C5-05F1-4D2D-BA4B-709547E062A4}" name="WdStove"/>
    <tableColumn id="36" xr3:uid="{2BD81600-8524-456F-A210-E59B9B9615A5}" name="MsnryFP"/>
    <tableColumn id="37" xr3:uid="{28EBEA6B-1276-4C78-9B0D-1B5C6198E1A4}" name="PrefabFP"/>
    <tableColumn id="38" xr3:uid="{6CA578F9-4394-4B0F-ADE6-E8BB8B7EF531}" name="3/4Bath"/>
    <tableColumn id="39" xr3:uid="{43C702DA-3956-4A63-944B-9605754CF6CA}" name="1/2Bath"/>
    <tableColumn id="40" xr3:uid="{1E920860-FB25-4EB9-905E-65994D26C28E}" name="Fixtures"/>
    <tableColumn id="41" xr3:uid="{130A2388-AD86-44B9-8F67-F38B6EECAC92}" name="AttGar"/>
    <tableColumn id="42" xr3:uid="{7053F270-6AB1-4C31-9FBD-A3FF712BA882}" name="BltinGar"/>
    <tableColumn id="43" xr3:uid="{8EF6556C-9E61-4F93-90A5-35C3B9647BDE}" name="GarageArea"/>
    <tableColumn id="44" xr3:uid="{422F4B56-03A0-4F3E-8539-F3812435274E}" name="Carport"/>
    <tableColumn id="45" xr3:uid="{DB8984CF-3DEA-40D1-B5AA-38D5693C49DB}" name="WdDeck"/>
    <tableColumn id="46" xr3:uid="{6DF8772B-DD88-4EE5-B86B-F61A176A80AF}" name="Patio"/>
    <tableColumn id="47" xr3:uid="{16100EDB-21B3-4DB3-B303-5094370CFC64}" name="CoverSf"/>
    <tableColumn id="48" xr3:uid="{05FED22C-AFA2-496F-BB46-7809B5FDDBFC}" name="%Comp"/>
    <tableColumn id="49" xr3:uid="{C4BC2E66-0724-43C3-B3F8-0373E97BD5CC}" name="Ecn"/>
    <tableColumn id="50" xr3:uid="{FB747C11-A1C2-4378-901E-D2A15CD370CC}" name="Rcn"/>
    <tableColumn id="51" xr3:uid="{2EB80E57-F747-4C33-B453-BF6C28311DFD}" name="Rcnld"/>
    <tableColumn id="52" xr3:uid="{0249EAD5-1F62-4DED-8C17-6329EC5B3A4F}" name="Days Prior"/>
    <tableColumn id="53" xr3:uid="{3A62AA49-A0D1-4A19-B339-3D1931CCE533}" name="DP1"/>
    <tableColumn id="54" xr3:uid="{97E903DA-8DDB-4273-AB0E-A61075F3D9C4}" name="DP2"/>
    <tableColumn id="55" xr3:uid="{531C5B7B-65A3-490B-93C6-BB37C3586513}" name="DP3"/>
    <tableColumn id="56" xr3:uid="{D4E6710D-225D-4905-9532-0622354603EA}" name="Date" dataDxfId="64"/>
    <tableColumn id="57" xr3:uid="{BD17C339-289D-43EA-92EE-F7C1E2F575F3}" name="Excise"/>
    <tableColumn id="58" xr3:uid="{F3BEDCB4-6F91-487F-96F2-C523EA6C614A}" name="Price"/>
    <tableColumn id="59" xr3:uid="{6AFB6F1F-557B-4A07-AF9A-9AE009B7A8CC}" name="SP-Det"/>
    <tableColumn id="60" xr3:uid="{69B02ECC-08C0-4FB4-B83C-9DDB2E17829D}" name="SaleType"/>
    <tableColumn id="61" xr3:uid="{F8166169-0C4A-4DFE-A515-0730E85FE121}" name="Verify"/>
    <tableColumn id="62" xr3:uid="{C3EA4171-535F-4E0C-8D92-5ED1A75DF8B7}" name="Mult"/>
    <tableColumn id="63" xr3:uid="{C9D13074-8B98-4E3A-9050-600A3002409F}" name="Bench"/>
    <tableColumn id="64" xr3:uid="{9E6D3600-5C78-48E0-8DEB-F5A22EABDC5B}" name="24Final"/>
    <tableColumn id="65" xr3:uid="{C74842AA-0932-4AD4-AA07-21F4B310DA40}" name="24Lnd"/>
    <tableColumn id="66" xr3:uid="{4D1642B4-1400-4332-9A9A-31140863B601}" name="24Bldg"/>
    <tableColumn id="67" xr3:uid="{849407A5-EFF9-4EFF-AAF8-E9688DD34E37}" name="25Det"/>
    <tableColumn id="68" xr3:uid="{EA459105-948E-4777-A269-A6EF44921A92}" name="Ratio"/>
    <tableColumn id="69" xr3:uid="{49A2ED5A-56AC-4366-B09D-D5AC77E563AE}" name="Mdl Formula DP"/>
    <tableColumn id="70" xr3:uid="{B973C4FD-DDCC-48FB-A20D-C091DBAA3298}" name="Mdl Formula Total"/>
    <tableColumn id="71" xr3:uid="{F6B70AF9-0557-4933-873E-C7213D758701}" name="Diff" dataDxfId="63" dataCellStyle="Percent">
      <calculatedColumnFormula>(BR2-BL2)/BL2</calculatedColumnFormula>
    </tableColumn>
    <tableColumn id="72" xr3:uid="{7E440A88-22E6-4039-9E49-113721AED263}" name="Days Prior Total" dataDxfId="62">
      <calculatedColumnFormula>(Sales[[#This Row],[DP1]]*Lookups!$B$51)+(Sales[[#This Row],[DP2]]*Lookups!$B$52)+(Sales[[#This Row],[DP3]]*Lookups!$B$53)</calculatedColumnFormula>
    </tableColumn>
    <tableColumn id="73" xr3:uid="{223FD26D-9278-4485-BB4B-6044F54CCE81}" name="Mdl Res Intercept" dataDxfId="61">
      <calculatedColumnFormula>Lookups!$B$48*0.5</calculatedColumnFormula>
    </tableColumn>
    <tableColumn id="74" xr3:uid="{AD6B424A-C38E-42E6-8894-AA00955AF1EF}" name="Mdl Land Intercept" dataDxfId="60">
      <calculatedColumnFormula>Lookups!$B$48*0.5</calculatedColumnFormula>
    </tableColumn>
    <tableColumn id="75" xr3:uid="{405CD8C2-9EAF-4CA0-9A29-514F5D5396C6}" name="Mdl LnAcres" dataDxfId="59">
      <calculatedColumnFormula>Lookups!$B$49*Sales[[#This Row],[LnAcres]]</calculatedColumnFormula>
    </tableColumn>
    <tableColumn id="76" xr3:uid="{60E43695-A7B9-424D-BFE1-4B1070CFE9A0}" name="Mdl Qlty" dataDxfId="58">
      <calculatedColumnFormula>VLOOKUP(Sales[[#This Row],[Qlty]],Lookups!$A$54:$E$67,2,FALSE)</calculatedColumnFormula>
    </tableColumn>
    <tableColumn id="77" xr3:uid="{86BCCBE8-D1FF-4B54-9250-642B4741434C}" name="Mdl Condition" dataDxfId="57">
      <calculatedColumnFormula>VLOOKUP(Sales[[#This Row],[Cnd]],Lookups!$A$68:$E$76,2,FALSE)</calculatedColumnFormula>
    </tableColumn>
    <tableColumn id="78" xr3:uid="{63D3EC6D-6660-4A7C-AECB-BB3D488FF0F4}" name="Mdl Age" dataDxfId="56">
      <calculatedColumnFormula>Sales[[#This Row],[Age]]*Lookups!$B$77</calculatedColumnFormula>
    </tableColumn>
    <tableColumn id="79" xr3:uid="{34437210-08C8-4454-A966-E1FCA54ADF3F}" name="Mdl MainFn" dataDxfId="55">
      <calculatedColumnFormula>Sales[[#This Row],[MainFn]]*Lookups!$B$78</calculatedColumnFormula>
    </tableColumn>
    <tableColumn id="80" xr3:uid="{090D4E1B-7DBE-4FB2-9781-25C6B5E9DF2C}" name="Mdl UpprFn" dataDxfId="54">
      <calculatedColumnFormula>Sales[[#This Row],[UpprFn]]*Lookups!$B$79</calculatedColumnFormula>
    </tableColumn>
    <tableColumn id="81" xr3:uid="{5BB6DA3E-8D27-4928-AA2D-6B78D016625C}" name="Mdl AddFn" dataDxfId="53">
      <calculatedColumnFormula>Sales[[#This Row],[AddFn]]*Lookups!$B$80</calculatedColumnFormula>
    </tableColumn>
    <tableColumn id="82" xr3:uid="{F8D67B8E-D577-4458-B3C8-897A682D3739}" name="Mdl Bsmt" dataDxfId="52">
      <calculatedColumnFormula>Sales[[#This Row],[Bsmt]]*Lookups!$B$81</calculatedColumnFormula>
    </tableColumn>
    <tableColumn id="83" xr3:uid="{BB2D867E-9CAF-4571-BA7F-7726ACFB7A9C}" name="Mdl Fixtures" dataDxfId="51">
      <calculatedColumnFormula>Sales[[#This Row],[Fixtures]]*Lookups!$B$84</calculatedColumnFormula>
    </tableColumn>
    <tableColumn id="108" xr3:uid="{76F5EE46-86CC-4671-B575-BD829857BFEE}" name="Mdl MsnryFP" dataDxfId="50">
      <calculatedColumnFormula>Sales[[#This Row],[MsnryFP]]*Lookups!$B$82</calculatedColumnFormula>
    </tableColumn>
    <tableColumn id="109" xr3:uid="{ACAE911D-9DE7-437E-941F-65E46A276D55}" name="Mdl PrefabFP " dataDxfId="49">
      <calculatedColumnFormula>Sales[[#This Row],[PrefabFP]]*Lookups!$B$83</calculatedColumnFormula>
    </tableColumn>
    <tableColumn id="110" xr3:uid="{61C5A111-4098-4F80-9515-C7A59CAC3201}" name="Mdl GarageArea" dataDxfId="48">
      <calculatedColumnFormula>Sales[[#This Row],[GarageArea]]*Lookups!$B$85</calculatedColumnFormula>
    </tableColumn>
    <tableColumn id="85" xr3:uid="{A9ADC4EA-BABB-4655-B016-F12096E7B73E}" name="Match Mdl Value" dataDxfId="47">
      <calculatedColumnFormula>SUM(Sales[[#This Row],[Days Prior Total]:[Mdl GarageArea]])</calculatedColumnFormula>
    </tableColumn>
    <tableColumn id="86" xr3:uid="{7CE345E2-73FF-496D-95D0-CF85AB3633D4}" name="Unadj Det Value" dataDxfId="46">
      <calculatedColumnFormula>ROUND(Sales[[#This Row],[25Det]],-2)</calculatedColumnFormula>
    </tableColumn>
    <tableColumn id="87" xr3:uid="{D4567031-9B83-43CE-9D25-BF8AD786BF9A}" name="Unadj Res Value" dataDxfId="45">
      <calculatedColumnFormula>ROUND(SUM(Sales[[#This Row],[Mdl Qlty]:[Mdl GarageArea]])+Sales[[#This Row],[Mdl Res Intercept]]+Sales[[#This Row],[Days Prior Total]],-2)</calculatedColumnFormula>
    </tableColumn>
    <tableColumn id="88" xr3:uid="{C47713A6-0AD4-4996-9EBD-0C8B63C6777C}" name="Unadj Land Value" dataDxfId="44">
      <calculatedColumnFormula>ROUND(Sales[[#This Row],[Mdl Land Intercept]]+Sales[[#This Row],[Mdl LnAcres]],-2)</calculatedColumnFormula>
    </tableColumn>
    <tableColumn id="89" xr3:uid="{448A7AE3-42F6-40DF-8A02-8E274A93C3F8}" name="Unadj Total Value" dataDxfId="43">
      <calculatedColumnFormula>Sales[[#This Row],[Unadj Res Value]]+Sales[[#This Row],[Unadj Det Value]]+Sales[[#This Row],[Unadj Land Value]]</calculatedColumnFormula>
    </tableColumn>
    <tableColumn id="90" xr3:uid="{CC49BD8B-953F-41B9-8E9A-856A859B6A83}" name="Unadj Ratio " dataDxfId="42">
      <calculatedColumnFormula>Sales[[#This Row],[Unadj Total Value]]/Sales[[#This Row],[Price]]</calculatedColumnFormula>
    </tableColumn>
    <tableColumn id="91" xr3:uid="{4DBB68AD-5565-405C-9F05-470DE3953A54}" name="Unadj Diff" dataDxfId="41">
      <calculatedColumnFormula>(Sales[[#This Row],[Unadj Total Value]]-Sales[[#This Row],[24Final]])/Sales[[#This Row],[24Final]]</calculatedColumnFormula>
    </tableColumn>
    <tableColumn id="92" xr3:uid="{2AF18CA9-6EE9-44C7-872D-4B1A2D6663AA}" name="Nbhd Adj" dataDxfId="40">
      <calculatedColumnFormula>VLOOKUP(Sales[[#This Row],[TNbhd]],Lookups!$M$2:$P$4,4,FALSE)</calculatedColumnFormula>
    </tableColumn>
    <tableColumn id="93" xr3:uid="{6A3C7295-BAB1-4928-8B61-144857B6A522}" name="Quality Adj" dataDxfId="39">
      <calculatedColumnFormula>VLOOKUP(Sales[[#This Row],[Qlty]],Lookups!$M$6:$P$20,4,FALSE)</calculatedColumnFormula>
    </tableColumn>
    <tableColumn id="94" xr3:uid="{58E49072-1D87-40EE-9F96-C0E3A2518990}" name="Condition Adj" dataDxfId="38">
      <calculatedColumnFormula>VLOOKUP(Sales[[#This Row],[Cnd]],Lookups!$R$6:$U$15,4,FALSE)</calculatedColumnFormula>
    </tableColumn>
    <tableColumn id="95" xr3:uid="{F10DBE36-1DA3-4607-BD50-1A7BB795FBA4}" name="Living Area Adj" dataDxfId="37">
      <calculatedColumnFormula>VLOOKUP(Sales[[#This Row],[LivArea Range]],Lookups!$R$23:$U$39,4,FALSE)</calculatedColumnFormula>
    </tableColumn>
    <tableColumn id="96" xr3:uid="{0F4832A4-9306-418C-97A7-F37F21EE6E48}" name="Decade Adj" dataDxfId="36">
      <calculatedColumnFormula>VLOOKUP(Sales[[#This Row],[Decade]],Lookups!$M$23:$P$35,4,FALSE)</calculatedColumnFormula>
    </tableColumn>
    <tableColumn id="97" xr3:uid="{22BB40B5-574F-426B-90E3-3041413DECEA}" name="Det/Nbhd Adj" dataDxfId="35">
      <calculatedColumnFormula>Sales[[#This Row],[Nbhd Adj]]*0.95</calculatedColumnFormula>
    </tableColumn>
    <tableColumn id="98" xr3:uid="{0287ACFC-7289-4D68-BF90-FD093688406A}" name="Res Adj " dataDxfId="34">
      <calculatedColumnFormula>Sales[[#This Row],[Nbhd Adj]]*Sales[[#This Row],[Quality Adj]]*Sales[[#This Row],[Condition Adj]]*Sales[[#This Row],[Living Area Adj]]*Sales[[#This Row],[Decade Adj]]*0.95</calculatedColumnFormula>
    </tableColumn>
    <tableColumn id="99" xr3:uid="{8681EA25-3556-4833-9CD6-953B56CEFA38}" name="Adjusted Res" dataDxfId="33">
      <calculatedColumnFormula>ROUND(SUM(Sales[[#This Row],[Mdl Qlty]:[Mdl GarageArea]])+Sales[[#This Row],[Mdl Res Intercept]]*Sales[[#This Row],[Res Adj ]],-2)</calculatedColumnFormula>
    </tableColumn>
    <tableColumn id="100" xr3:uid="{5EFE2A55-D68F-44B9-9564-07BD9B593DEF}" name="Adj Det " dataDxfId="32">
      <calculatedColumnFormula>ROUND(Sales[[#This Row],[25Det]]*Sales[[#This Row],[Det/Nbhd Adj]],-2)</calculatedColumnFormula>
    </tableColumn>
    <tableColumn id="101" xr3:uid="{18621623-E808-45A4-8161-C487A00FD2CA}" name="Adjusted Impr Total" dataDxfId="31">
      <calculatedColumnFormula>Sales[[#This Row],[Adjusted Res]]+Sales[[#This Row],[Adj Det ]]</calculatedColumnFormula>
    </tableColumn>
    <tableColumn id="102" xr3:uid="{41369419-5879-4457-8BCA-1EC2E81B8088}" name="Adjusted Land Total" dataDxfId="30">
      <calculatedColumnFormula>ROUND((Sales[[#This Row],[Mdl Land Intercept]]+Sales[[#This Row],[Mdl LnAcres]])*Sales[[#This Row],[Det/Nbhd Adj]],-2)</calculatedColumnFormula>
    </tableColumn>
    <tableColumn id="103" xr3:uid="{150F6245-7522-4E02-BFF9-971B2ED4ABAE}" name="Adjusted Total" dataDxfId="29">
      <calculatedColumnFormula>Sales[[#This Row],[Adjusted Impr Total]]+Sales[[#This Row],[Adjusted Land Total]]</calculatedColumnFormula>
    </tableColumn>
    <tableColumn id="104" xr3:uid="{84642332-CC70-47B0-97A5-76CEEEB4EA57}" name="Adjusted Imp Diff" dataDxfId="28">
      <calculatedColumnFormula>IFERROR((Sales[[#This Row],[Adjusted Impr Total]]-Sales[[#This Row],[24Bldg]])/Sales[[#This Row],[24Bldg]],0)</calculatedColumnFormula>
    </tableColumn>
    <tableColumn id="105" xr3:uid="{CE00387E-F26C-49CC-A1AA-C11040EA64A1}" name="Adjusted Lnd Diff" dataDxfId="27">
      <calculatedColumnFormula>(Sales[[#This Row],[Adjusted Land Total]]-Sales[[#This Row],[24Lnd]])/Sales[[#This Row],[24Lnd]]</calculatedColumnFormula>
    </tableColumn>
    <tableColumn id="106" xr3:uid="{7B77F961-F823-413A-8543-9DEB012B0171}" name="Adjusted Total Difference" dataDxfId="26">
      <calculatedColumnFormula>(Sales[[#This Row],[Adjusted Total]]-Sales[[#This Row],[24Final]])/Sales[[#This Row],[24Final]]</calculatedColumnFormula>
    </tableColumn>
    <tableColumn id="107" xr3:uid="{E3BB45BA-7ABC-4C0E-AEC0-26A2FB3967D9}" name="Final Ratio" dataDxfId="25">
      <calculatedColumnFormula>(Sales[[#This Row],[Adjusted Total]]+Sales[[#This Row],[Days Prior Total]])/Sales[[#This Row],[Price]]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7C80-4D22-4570-8EDF-C7449024658B}">
  <dimension ref="A1:Z85"/>
  <sheetViews>
    <sheetView topLeftCell="A15" workbookViewId="0">
      <selection activeCell="P34" sqref="P34"/>
    </sheetView>
  </sheetViews>
  <sheetFormatPr defaultRowHeight="14.4" x14ac:dyDescent="0.3"/>
  <sheetData>
    <row r="1" spans="13:21" x14ac:dyDescent="0.3">
      <c r="M1" s="17"/>
      <c r="N1" s="17"/>
      <c r="O1" s="17"/>
      <c r="P1" s="17"/>
    </row>
    <row r="2" spans="13:21" ht="43.2" x14ac:dyDescent="0.3">
      <c r="M2" s="20" t="s">
        <v>384</v>
      </c>
      <c r="N2" s="20" t="s">
        <v>383</v>
      </c>
      <c r="O2" s="20" t="s">
        <v>382</v>
      </c>
      <c r="P2" s="20" t="s">
        <v>388</v>
      </c>
    </row>
    <row r="3" spans="13:21" x14ac:dyDescent="0.3">
      <c r="M3" s="8" t="s">
        <v>302</v>
      </c>
      <c r="N3" s="8">
        <v>191</v>
      </c>
      <c r="O3" s="8">
        <v>1.0248793092710067</v>
      </c>
      <c r="P3" s="8">
        <f>ROUND(1/O3,4)</f>
        <v>0.97570000000000001</v>
      </c>
    </row>
    <row r="4" spans="13:21" x14ac:dyDescent="0.3">
      <c r="M4" s="8" t="s">
        <v>381</v>
      </c>
      <c r="N4" s="8">
        <v>191</v>
      </c>
      <c r="O4" s="8">
        <v>1.0248793092710067</v>
      </c>
      <c r="P4" s="8"/>
    </row>
    <row r="6" spans="13:21" ht="43.2" x14ac:dyDescent="0.3">
      <c r="M6" s="20" t="s">
        <v>384</v>
      </c>
      <c r="N6" s="20" t="s">
        <v>383</v>
      </c>
      <c r="O6" s="20" t="s">
        <v>382</v>
      </c>
      <c r="P6" s="20" t="s">
        <v>388</v>
      </c>
      <c r="R6" s="20" t="s">
        <v>384</v>
      </c>
      <c r="S6" s="20" t="s">
        <v>383</v>
      </c>
      <c r="T6" s="20" t="s">
        <v>382</v>
      </c>
      <c r="U6" s="20" t="s">
        <v>388</v>
      </c>
    </row>
    <row r="7" spans="13:21" x14ac:dyDescent="0.3">
      <c r="M7" s="22" t="s">
        <v>339</v>
      </c>
      <c r="N7" s="22"/>
      <c r="O7" s="22"/>
      <c r="P7" s="22">
        <v>1</v>
      </c>
      <c r="R7" s="22" t="s">
        <v>256</v>
      </c>
      <c r="S7" s="21"/>
      <c r="T7" s="21"/>
      <c r="U7" s="22">
        <v>1</v>
      </c>
    </row>
    <row r="8" spans="13:21" x14ac:dyDescent="0.3">
      <c r="M8" s="22" t="s">
        <v>340</v>
      </c>
      <c r="N8" s="22"/>
      <c r="O8" s="22"/>
      <c r="P8" s="22">
        <v>1</v>
      </c>
      <c r="R8" s="22" t="s">
        <v>343</v>
      </c>
      <c r="S8" s="21"/>
      <c r="T8" s="21"/>
      <c r="U8" s="22">
        <v>1</v>
      </c>
    </row>
    <row r="9" spans="13:21" x14ac:dyDescent="0.3">
      <c r="M9" s="22" t="s">
        <v>341</v>
      </c>
      <c r="N9" s="22"/>
      <c r="O9" s="22"/>
      <c r="P9" s="22">
        <v>1</v>
      </c>
      <c r="R9" s="22" t="s">
        <v>344</v>
      </c>
      <c r="S9" s="21"/>
      <c r="T9" s="21"/>
      <c r="U9" s="22">
        <v>1</v>
      </c>
    </row>
    <row r="10" spans="13:21" x14ac:dyDescent="0.3">
      <c r="M10" s="22" t="s">
        <v>152</v>
      </c>
      <c r="N10" s="22"/>
      <c r="O10" s="22"/>
      <c r="P10" s="22">
        <v>1</v>
      </c>
      <c r="R10" s="22" t="s">
        <v>345</v>
      </c>
      <c r="S10" s="21"/>
      <c r="T10" s="21"/>
      <c r="U10" s="22">
        <v>1</v>
      </c>
    </row>
    <row r="11" spans="13:21" x14ac:dyDescent="0.3">
      <c r="M11" s="8" t="s">
        <v>257</v>
      </c>
      <c r="N11" s="8">
        <v>15</v>
      </c>
      <c r="O11" s="8">
        <v>0.99530587354569067</v>
      </c>
      <c r="P11" s="8">
        <f>ROUND(1/O11,4)</f>
        <v>1.0046999999999999</v>
      </c>
      <c r="R11" s="8" t="s">
        <v>231</v>
      </c>
      <c r="S11" s="8">
        <v>55</v>
      </c>
      <c r="T11" s="8">
        <v>1.033397314128693</v>
      </c>
      <c r="U11" s="8">
        <f>ROUND(1/T11,4)</f>
        <v>0.9677</v>
      </c>
    </row>
    <row r="12" spans="13:21" x14ac:dyDescent="0.3">
      <c r="M12" s="8" t="s">
        <v>205</v>
      </c>
      <c r="N12" s="8">
        <v>18</v>
      </c>
      <c r="O12" s="8">
        <v>1.1723431966134408</v>
      </c>
      <c r="P12" s="8">
        <f t="shared" ref="P12:P20" si="0">ROUND(1/O12,4)</f>
        <v>0.85299999999999998</v>
      </c>
      <c r="R12" s="8" t="s">
        <v>207</v>
      </c>
      <c r="S12" s="8">
        <v>65</v>
      </c>
      <c r="T12" s="8">
        <v>1.0221518111730885</v>
      </c>
      <c r="U12" s="8">
        <f t="shared" ref="U12:U15" si="1">ROUND(1/T12,4)</f>
        <v>0.97829999999999995</v>
      </c>
    </row>
    <row r="13" spans="13:21" x14ac:dyDescent="0.3">
      <c r="M13" s="8" t="s">
        <v>111</v>
      </c>
      <c r="N13" s="8">
        <v>71</v>
      </c>
      <c r="O13" s="8">
        <v>1.0120197352491909</v>
      </c>
      <c r="P13" s="8">
        <f t="shared" si="0"/>
        <v>0.98809999999999998</v>
      </c>
      <c r="R13" s="8" t="s">
        <v>258</v>
      </c>
      <c r="S13" s="8">
        <v>32</v>
      </c>
      <c r="T13" s="8">
        <v>1.02584979923772</v>
      </c>
      <c r="U13" s="8">
        <f t="shared" si="1"/>
        <v>0.9748</v>
      </c>
    </row>
    <row r="14" spans="13:21" x14ac:dyDescent="0.3">
      <c r="M14" s="8" t="s">
        <v>75</v>
      </c>
      <c r="N14" s="8">
        <v>26</v>
      </c>
      <c r="O14" s="8">
        <v>1.0183908172339136</v>
      </c>
      <c r="P14" s="8">
        <f t="shared" si="0"/>
        <v>0.9819</v>
      </c>
      <c r="R14" s="8" t="s">
        <v>76</v>
      </c>
      <c r="S14" s="8">
        <v>39</v>
      </c>
      <c r="T14" s="8">
        <v>1.0166162690211891</v>
      </c>
      <c r="U14" s="8">
        <f t="shared" si="1"/>
        <v>0.98370000000000002</v>
      </c>
    </row>
    <row r="15" spans="13:21" x14ac:dyDescent="0.3">
      <c r="M15" s="8" t="s">
        <v>50</v>
      </c>
      <c r="N15" s="8">
        <v>24</v>
      </c>
      <c r="O15" s="8">
        <v>1.0169390348820955</v>
      </c>
      <c r="P15" s="8">
        <f t="shared" si="0"/>
        <v>0.98329999999999995</v>
      </c>
      <c r="R15" s="8" t="s">
        <v>381</v>
      </c>
      <c r="S15" s="8">
        <v>191</v>
      </c>
      <c r="T15" s="8">
        <v>1.0248793092710067</v>
      </c>
      <c r="U15" s="8">
        <f t="shared" si="1"/>
        <v>0.97570000000000001</v>
      </c>
    </row>
    <row r="16" spans="13:21" x14ac:dyDescent="0.3">
      <c r="M16" s="8" t="s">
        <v>189</v>
      </c>
      <c r="N16" s="8">
        <v>17</v>
      </c>
      <c r="O16" s="8">
        <v>0.99494589693357793</v>
      </c>
      <c r="P16" s="8">
        <f t="shared" si="0"/>
        <v>1.0051000000000001</v>
      </c>
    </row>
    <row r="17" spans="13:26" x14ac:dyDescent="0.3">
      <c r="M17" s="8" t="s">
        <v>274</v>
      </c>
      <c r="N17" s="8">
        <v>8</v>
      </c>
      <c r="O17" s="8">
        <v>1.0048038602854614</v>
      </c>
      <c r="P17" s="8">
        <f t="shared" si="0"/>
        <v>0.99519999999999997</v>
      </c>
    </row>
    <row r="18" spans="13:26" x14ac:dyDescent="0.3">
      <c r="M18" s="8" t="s">
        <v>206</v>
      </c>
      <c r="N18" s="8">
        <v>5</v>
      </c>
      <c r="O18" s="8">
        <v>1.0053609253218467</v>
      </c>
      <c r="P18" s="8">
        <f t="shared" si="0"/>
        <v>0.99470000000000003</v>
      </c>
    </row>
    <row r="19" spans="13:26" x14ac:dyDescent="0.3">
      <c r="M19" s="8" t="s">
        <v>230</v>
      </c>
      <c r="N19" s="8">
        <v>7</v>
      </c>
      <c r="O19" s="8">
        <v>1.0003953405466715</v>
      </c>
      <c r="P19" s="8">
        <f t="shared" si="0"/>
        <v>0.99960000000000004</v>
      </c>
      <c r="Q19" s="17"/>
    </row>
    <row r="20" spans="13:26" x14ac:dyDescent="0.3">
      <c r="M20" s="8" t="s">
        <v>381</v>
      </c>
      <c r="N20" s="8">
        <v>191</v>
      </c>
      <c r="O20" s="8">
        <v>1.0248793092710067</v>
      </c>
      <c r="P20" s="8">
        <f t="shared" si="0"/>
        <v>0.97570000000000001</v>
      </c>
    </row>
    <row r="23" spans="13:26" ht="43.2" x14ac:dyDescent="0.3">
      <c r="M23" s="20" t="s">
        <v>384</v>
      </c>
      <c r="N23" s="20" t="s">
        <v>383</v>
      </c>
      <c r="O23" s="20" t="s">
        <v>382</v>
      </c>
      <c r="P23" s="20" t="s">
        <v>388</v>
      </c>
      <c r="R23" s="20" t="s">
        <v>384</v>
      </c>
      <c r="S23" s="20" t="s">
        <v>383</v>
      </c>
      <c r="T23" s="20" t="s">
        <v>382</v>
      </c>
      <c r="U23" s="20" t="s">
        <v>388</v>
      </c>
    </row>
    <row r="24" spans="13:26" x14ac:dyDescent="0.3">
      <c r="M24" s="8">
        <v>0</v>
      </c>
      <c r="N24" s="8">
        <v>0</v>
      </c>
      <c r="O24" s="8">
        <v>1</v>
      </c>
      <c r="P24" s="8">
        <f>ROUND(1/O24,4)</f>
        <v>1</v>
      </c>
      <c r="R24" s="22">
        <v>500</v>
      </c>
      <c r="S24" s="21"/>
      <c r="T24" s="21"/>
      <c r="U24" s="21">
        <v>1</v>
      </c>
    </row>
    <row r="25" spans="13:26" x14ac:dyDescent="0.3">
      <c r="M25" s="8">
        <v>10</v>
      </c>
      <c r="N25" s="8">
        <v>27</v>
      </c>
      <c r="O25" s="8">
        <v>1.0094624900955387</v>
      </c>
      <c r="P25" s="8">
        <f t="shared" ref="P25:P36" si="2">ROUND(1/O25,4)</f>
        <v>0.99060000000000004</v>
      </c>
      <c r="R25" s="22">
        <v>1000</v>
      </c>
      <c r="S25" s="21"/>
      <c r="T25" s="21"/>
      <c r="U25" s="21">
        <v>1</v>
      </c>
      <c r="X25" s="14"/>
      <c r="Y25" s="76"/>
      <c r="Z25" s="76"/>
    </row>
    <row r="26" spans="13:26" x14ac:dyDescent="0.3">
      <c r="M26" s="8">
        <v>20</v>
      </c>
      <c r="N26" s="8">
        <v>22</v>
      </c>
      <c r="O26" s="8">
        <v>1.025646446800857</v>
      </c>
      <c r="P26" s="8">
        <f t="shared" si="2"/>
        <v>0.97499999999999998</v>
      </c>
      <c r="R26" s="8">
        <v>1500</v>
      </c>
      <c r="S26" s="8">
        <v>17</v>
      </c>
      <c r="T26" s="8">
        <v>0.99385049808443382</v>
      </c>
      <c r="U26" s="8">
        <f>ROUND(1/T26,4)</f>
        <v>1.0062</v>
      </c>
      <c r="X26" s="14"/>
      <c r="Y26" s="76"/>
      <c r="Z26" s="76"/>
    </row>
    <row r="27" spans="13:26" x14ac:dyDescent="0.3">
      <c r="M27" s="8">
        <v>30</v>
      </c>
      <c r="N27" s="8">
        <v>21</v>
      </c>
      <c r="O27" s="8">
        <v>0.99409168659048408</v>
      </c>
      <c r="P27" s="8">
        <f t="shared" si="2"/>
        <v>1.0059</v>
      </c>
      <c r="R27" s="8">
        <v>2000</v>
      </c>
      <c r="S27" s="8">
        <v>38</v>
      </c>
      <c r="T27" s="8">
        <v>1.0091268201913437</v>
      </c>
      <c r="U27" s="8">
        <f t="shared" ref="U27:U39" si="3">ROUND(1/T27,4)</f>
        <v>0.99099999999999999</v>
      </c>
      <c r="X27" s="14"/>
      <c r="Y27" s="76"/>
      <c r="Z27" s="76"/>
    </row>
    <row r="28" spans="13:26" x14ac:dyDescent="0.3">
      <c r="M28" s="8">
        <v>40</v>
      </c>
      <c r="N28" s="8">
        <v>18</v>
      </c>
      <c r="O28" s="8">
        <v>1.0907195711452313</v>
      </c>
      <c r="P28" s="8">
        <f t="shared" si="2"/>
        <v>0.91679999999999995</v>
      </c>
      <c r="R28" s="8">
        <v>2500</v>
      </c>
      <c r="S28" s="8">
        <v>41</v>
      </c>
      <c r="T28" s="8">
        <v>1.0701881585916297</v>
      </c>
      <c r="U28" s="8">
        <f t="shared" si="3"/>
        <v>0.93440000000000001</v>
      </c>
      <c r="X28" s="14"/>
      <c r="Y28" s="76"/>
      <c r="Z28" s="76"/>
    </row>
    <row r="29" spans="13:26" x14ac:dyDescent="0.3">
      <c r="M29" s="8">
        <v>50</v>
      </c>
      <c r="N29" s="8">
        <v>33</v>
      </c>
      <c r="O29" s="8">
        <v>0.98495636253803365</v>
      </c>
      <c r="P29" s="8">
        <f t="shared" si="2"/>
        <v>1.0153000000000001</v>
      </c>
      <c r="R29" s="8">
        <v>3000</v>
      </c>
      <c r="S29" s="8">
        <v>31</v>
      </c>
      <c r="T29" s="8">
        <v>1.0716692827173067</v>
      </c>
      <c r="U29" s="8">
        <f t="shared" si="3"/>
        <v>0.93310000000000004</v>
      </c>
      <c r="X29" s="14"/>
      <c r="Y29" s="76"/>
      <c r="Z29" s="76"/>
    </row>
    <row r="30" spans="13:26" x14ac:dyDescent="0.3">
      <c r="M30" s="8">
        <v>60</v>
      </c>
      <c r="N30" s="8">
        <v>35</v>
      </c>
      <c r="O30" s="8">
        <v>1.0278303118929784</v>
      </c>
      <c r="P30" s="8">
        <f t="shared" si="2"/>
        <v>0.97289999999999999</v>
      </c>
      <c r="R30" s="8">
        <v>3500</v>
      </c>
      <c r="S30" s="8">
        <v>23</v>
      </c>
      <c r="T30" s="8">
        <v>1.0038240772227212</v>
      </c>
      <c r="U30" s="8">
        <f t="shared" si="3"/>
        <v>0.99619999999999997</v>
      </c>
      <c r="X30" s="14"/>
      <c r="Y30" s="76"/>
      <c r="Z30" s="76"/>
    </row>
    <row r="31" spans="13:26" x14ac:dyDescent="0.3">
      <c r="M31" s="8">
        <v>70</v>
      </c>
      <c r="N31" s="8">
        <v>22</v>
      </c>
      <c r="O31" s="8">
        <v>1.051616848684952</v>
      </c>
      <c r="P31" s="8">
        <f t="shared" si="2"/>
        <v>0.95089999999999997</v>
      </c>
      <c r="R31" s="8">
        <v>4000</v>
      </c>
      <c r="S31" s="8">
        <v>25</v>
      </c>
      <c r="T31" s="8">
        <v>0.96712788444236464</v>
      </c>
      <c r="U31" s="8">
        <f t="shared" si="3"/>
        <v>1.034</v>
      </c>
      <c r="X31" s="14"/>
      <c r="Y31" s="76"/>
      <c r="Z31" s="76"/>
    </row>
    <row r="32" spans="13:26" x14ac:dyDescent="0.3">
      <c r="M32" s="8">
        <v>80</v>
      </c>
      <c r="N32" s="8">
        <v>6</v>
      </c>
      <c r="O32" s="8">
        <v>0.97690687291167955</v>
      </c>
      <c r="P32" s="8">
        <f t="shared" si="2"/>
        <v>1.0236000000000001</v>
      </c>
      <c r="R32" s="8">
        <v>4500</v>
      </c>
      <c r="S32" s="8">
        <v>4</v>
      </c>
      <c r="T32" s="8">
        <v>0.9912308920808921</v>
      </c>
      <c r="U32" s="8">
        <f t="shared" si="3"/>
        <v>1.0087999999999999</v>
      </c>
      <c r="X32" s="14"/>
      <c r="Y32" s="76"/>
      <c r="Z32" s="76"/>
    </row>
    <row r="33" spans="1:26" x14ac:dyDescent="0.3">
      <c r="M33" s="8">
        <v>90</v>
      </c>
      <c r="N33" s="8">
        <v>1</v>
      </c>
      <c r="O33" s="8">
        <v>0.96028776978417263</v>
      </c>
      <c r="P33" s="8">
        <f t="shared" si="2"/>
        <v>1.0414000000000001</v>
      </c>
      <c r="R33" s="8">
        <v>5000</v>
      </c>
      <c r="S33" s="8">
        <v>6</v>
      </c>
      <c r="T33" s="8">
        <v>0.9951159049372521</v>
      </c>
      <c r="U33" s="8">
        <f t="shared" si="3"/>
        <v>1.0048999999999999</v>
      </c>
      <c r="X33" s="14"/>
      <c r="Y33" s="76"/>
      <c r="Z33" s="76"/>
    </row>
    <row r="34" spans="1:26" x14ac:dyDescent="0.3">
      <c r="M34" s="8">
        <v>100</v>
      </c>
      <c r="N34" s="8">
        <v>3</v>
      </c>
      <c r="O34" s="8">
        <v>1.1155015402263295</v>
      </c>
      <c r="P34" s="8">
        <f t="shared" si="2"/>
        <v>0.89649999999999996</v>
      </c>
      <c r="R34" s="8">
        <v>5500</v>
      </c>
      <c r="S34" s="8">
        <v>2</v>
      </c>
      <c r="T34" s="8">
        <v>1.1023281199087651</v>
      </c>
      <c r="U34" s="8">
        <f t="shared" si="3"/>
        <v>0.90720000000000001</v>
      </c>
      <c r="X34" s="14"/>
      <c r="Y34" s="76"/>
      <c r="Z34" s="76"/>
    </row>
    <row r="35" spans="1:26" x14ac:dyDescent="0.3">
      <c r="M35" s="8">
        <v>110</v>
      </c>
      <c r="N35" s="8">
        <v>3</v>
      </c>
      <c r="O35" s="8">
        <v>1.2139787101793473</v>
      </c>
      <c r="P35" s="8">
        <f t="shared" si="2"/>
        <v>0.82369999999999999</v>
      </c>
      <c r="R35" s="8">
        <v>6000</v>
      </c>
      <c r="S35" s="8">
        <v>1</v>
      </c>
      <c r="T35" s="8">
        <v>0.95119453924914676</v>
      </c>
      <c r="U35" s="8">
        <f t="shared" si="3"/>
        <v>1.0512999999999999</v>
      </c>
      <c r="X35" s="78"/>
      <c r="Y35" s="79"/>
      <c r="Z35" s="79"/>
    </row>
    <row r="36" spans="1:26" x14ac:dyDescent="0.3">
      <c r="M36" s="77" t="s">
        <v>381</v>
      </c>
      <c r="N36" s="77">
        <v>191</v>
      </c>
      <c r="O36" s="77">
        <v>1.0248793092710071</v>
      </c>
      <c r="P36" s="77">
        <f t="shared" si="2"/>
        <v>0.97570000000000001</v>
      </c>
      <c r="R36" s="8">
        <v>7500</v>
      </c>
      <c r="S36" s="8">
        <v>1</v>
      </c>
      <c r="T36" s="8">
        <v>1.0475882352941177</v>
      </c>
      <c r="U36" s="8">
        <f t="shared" si="3"/>
        <v>0.9546</v>
      </c>
      <c r="X36" s="80"/>
      <c r="Y36" s="81"/>
      <c r="Z36" s="81"/>
    </row>
    <row r="37" spans="1:26" x14ac:dyDescent="0.3">
      <c r="R37" s="8">
        <v>9500</v>
      </c>
      <c r="S37" s="8">
        <v>1</v>
      </c>
      <c r="T37" s="8">
        <v>1.0232992700729926</v>
      </c>
      <c r="U37" s="8">
        <f t="shared" si="3"/>
        <v>0.97719999999999996</v>
      </c>
    </row>
    <row r="38" spans="1:26" x14ac:dyDescent="0.3">
      <c r="R38" s="8">
        <v>11500</v>
      </c>
      <c r="S38" s="8">
        <v>1</v>
      </c>
      <c r="T38" s="8">
        <v>0.98170000000000002</v>
      </c>
      <c r="U38" s="8">
        <f t="shared" si="3"/>
        <v>1.0185999999999999</v>
      </c>
    </row>
    <row r="39" spans="1:26" x14ac:dyDescent="0.3">
      <c r="R39" s="8" t="s">
        <v>381</v>
      </c>
      <c r="S39" s="8">
        <v>191</v>
      </c>
      <c r="T39" s="8">
        <v>1.0248793092710069</v>
      </c>
      <c r="U39" s="8">
        <f t="shared" si="3"/>
        <v>0.97570000000000001</v>
      </c>
    </row>
    <row r="47" spans="1:26" x14ac:dyDescent="0.3">
      <c r="A47" s="10" t="s">
        <v>330</v>
      </c>
      <c r="B47" s="10" t="s">
        <v>331</v>
      </c>
      <c r="C47" s="10" t="s">
        <v>332</v>
      </c>
      <c r="D47" s="10" t="s">
        <v>333</v>
      </c>
      <c r="E47" s="10" t="s">
        <v>334</v>
      </c>
    </row>
    <row r="48" spans="1:26" x14ac:dyDescent="0.3">
      <c r="A48" s="9" t="s">
        <v>335</v>
      </c>
      <c r="B48" s="8">
        <v>174429.65</v>
      </c>
      <c r="C48" s="8">
        <v>48815.09</v>
      </c>
      <c r="D48" s="8">
        <v>3.57</v>
      </c>
      <c r="E48" s="8">
        <v>5.0000000000000001E-4</v>
      </c>
    </row>
    <row r="49" spans="1:5" x14ac:dyDescent="0.3">
      <c r="A49" s="9" t="s">
        <v>184</v>
      </c>
      <c r="B49" s="8">
        <v>25027.846000000001</v>
      </c>
      <c r="C49" s="8">
        <v>5737.4470000000001</v>
      </c>
      <c r="D49" s="8">
        <v>4.3600000000000003</v>
      </c>
      <c r="E49" s="8" t="s">
        <v>336</v>
      </c>
    </row>
    <row r="50" spans="1:5" x14ac:dyDescent="0.3">
      <c r="A50" s="70" t="s">
        <v>337</v>
      </c>
      <c r="B50" s="71"/>
      <c r="C50" s="71"/>
      <c r="D50" s="71"/>
      <c r="E50" s="72"/>
    </row>
    <row r="51" spans="1:5" x14ac:dyDescent="0.3">
      <c r="A51" s="9" t="s">
        <v>299</v>
      </c>
      <c r="B51" s="8">
        <v>-158.16200000000001</v>
      </c>
      <c r="C51" s="8">
        <v>73.531999999999996</v>
      </c>
      <c r="D51" s="8">
        <v>-2.15</v>
      </c>
      <c r="E51" s="8">
        <v>3.2899999999999999E-2</v>
      </c>
    </row>
    <row r="52" spans="1:5" x14ac:dyDescent="0.3">
      <c r="A52" s="9" t="s">
        <v>47</v>
      </c>
      <c r="B52" s="8">
        <v>95.144546000000005</v>
      </c>
      <c r="C52" s="8">
        <v>59.343670000000003</v>
      </c>
      <c r="D52" s="8">
        <v>1.6</v>
      </c>
      <c r="E52" s="8">
        <v>0.1108</v>
      </c>
    </row>
    <row r="53" spans="1:5" x14ac:dyDescent="0.3">
      <c r="A53" s="9" t="s">
        <v>129</v>
      </c>
      <c r="B53" s="8">
        <v>-308.58600000000001</v>
      </c>
      <c r="C53" s="8">
        <v>65.475579999999994</v>
      </c>
      <c r="D53" s="8">
        <v>-4.71</v>
      </c>
      <c r="E53" s="8" t="s">
        <v>336</v>
      </c>
    </row>
    <row r="54" spans="1:5" x14ac:dyDescent="0.3">
      <c r="A54" s="73" t="s">
        <v>338</v>
      </c>
      <c r="B54" s="74"/>
      <c r="C54" s="74"/>
      <c r="D54" s="74"/>
      <c r="E54" s="75"/>
    </row>
    <row r="55" spans="1:5" x14ac:dyDescent="0.3">
      <c r="A55" s="8" t="s">
        <v>339</v>
      </c>
      <c r="B55" s="11">
        <v>-347405.7742246</v>
      </c>
      <c r="C55" s="8"/>
      <c r="D55" s="8"/>
      <c r="E55" s="8"/>
    </row>
    <row r="56" spans="1:5" x14ac:dyDescent="0.3">
      <c r="A56" s="8" t="s">
        <v>340</v>
      </c>
      <c r="B56" s="11">
        <v>-285132.30223023298</v>
      </c>
      <c r="C56" s="8"/>
      <c r="D56" s="8"/>
      <c r="E56" s="8"/>
    </row>
    <row r="57" spans="1:5" x14ac:dyDescent="0.3">
      <c r="A57" s="8" t="s">
        <v>341</v>
      </c>
      <c r="B57" s="11">
        <v>-222858.83023586599</v>
      </c>
      <c r="C57" s="8"/>
      <c r="D57" s="8"/>
      <c r="E57" s="8"/>
    </row>
    <row r="58" spans="1:5" x14ac:dyDescent="0.3">
      <c r="A58" s="8" t="s">
        <v>152</v>
      </c>
      <c r="B58" s="11">
        <v>-160585.35824150001</v>
      </c>
      <c r="C58" s="8"/>
      <c r="D58" s="8"/>
      <c r="E58" s="8"/>
    </row>
    <row r="59" spans="1:5" x14ac:dyDescent="0.3">
      <c r="A59" s="8" t="s">
        <v>257</v>
      </c>
      <c r="B59" s="8">
        <v>0</v>
      </c>
      <c r="C59" s="8"/>
      <c r="D59" s="8"/>
      <c r="E59" s="8"/>
    </row>
    <row r="60" spans="1:5" x14ac:dyDescent="0.3">
      <c r="A60" s="8" t="s">
        <v>205</v>
      </c>
      <c r="B60" s="8">
        <v>30313.66692</v>
      </c>
      <c r="C60" s="8"/>
      <c r="D60" s="8"/>
      <c r="E60" s="8"/>
    </row>
    <row r="61" spans="1:5" x14ac:dyDescent="0.3">
      <c r="A61" s="8" t="s">
        <v>111</v>
      </c>
      <c r="B61" s="8">
        <v>-14329.694740000001</v>
      </c>
      <c r="C61" s="8"/>
      <c r="D61" s="8"/>
      <c r="E61" s="8"/>
    </row>
    <row r="62" spans="1:5" x14ac:dyDescent="0.3">
      <c r="A62" s="8" t="s">
        <v>75</v>
      </c>
      <c r="B62" s="8">
        <v>19189.450408000001</v>
      </c>
      <c r="C62" s="8"/>
      <c r="D62" s="8"/>
      <c r="E62" s="8"/>
    </row>
    <row r="63" spans="1:5" x14ac:dyDescent="0.3">
      <c r="A63" s="8" t="s">
        <v>50</v>
      </c>
      <c r="B63" s="8">
        <v>46722.525125</v>
      </c>
      <c r="C63" s="8"/>
      <c r="D63" s="8"/>
      <c r="E63" s="8"/>
    </row>
    <row r="64" spans="1:5" x14ac:dyDescent="0.3">
      <c r="A64" s="8" t="s">
        <v>189</v>
      </c>
      <c r="B64" s="8">
        <v>141724.10243</v>
      </c>
      <c r="C64" s="8"/>
      <c r="D64" s="8"/>
      <c r="E64" s="8"/>
    </row>
    <row r="65" spans="1:5" x14ac:dyDescent="0.3">
      <c r="A65" s="8" t="s">
        <v>274</v>
      </c>
      <c r="B65" s="8">
        <v>243340.36395999999</v>
      </c>
      <c r="C65" s="8"/>
      <c r="D65" s="8"/>
      <c r="E65" s="8"/>
    </row>
    <row r="66" spans="1:5" x14ac:dyDescent="0.3">
      <c r="A66" s="8" t="s">
        <v>206</v>
      </c>
      <c r="B66" s="8">
        <v>370835.85488</v>
      </c>
      <c r="C66" s="8"/>
      <c r="D66" s="8"/>
      <c r="E66" s="8"/>
    </row>
    <row r="67" spans="1:5" x14ac:dyDescent="0.3">
      <c r="A67" s="8" t="s">
        <v>230</v>
      </c>
      <c r="B67" s="8">
        <v>519241.74659</v>
      </c>
      <c r="C67" s="8"/>
      <c r="D67" s="8"/>
      <c r="E67" s="8"/>
    </row>
    <row r="68" spans="1:5" x14ac:dyDescent="0.3">
      <c r="A68" s="73" t="s">
        <v>342</v>
      </c>
      <c r="B68" s="74"/>
      <c r="C68" s="74"/>
      <c r="D68" s="74"/>
      <c r="E68" s="75"/>
    </row>
    <row r="69" spans="1:5" x14ac:dyDescent="0.3">
      <c r="A69" s="8" t="s">
        <v>256</v>
      </c>
      <c r="B69" s="11">
        <v>-181162.40076700001</v>
      </c>
      <c r="C69" s="8"/>
      <c r="D69" s="8"/>
      <c r="E69" s="8"/>
    </row>
    <row r="70" spans="1:5" x14ac:dyDescent="0.3">
      <c r="A70" s="8" t="s">
        <v>343</v>
      </c>
      <c r="B70" s="11">
        <v>-135159.55835050001</v>
      </c>
      <c r="C70" s="8"/>
      <c r="D70" s="8"/>
      <c r="E70" s="8"/>
    </row>
    <row r="71" spans="1:5" x14ac:dyDescent="0.3">
      <c r="A71" s="8" t="s">
        <v>344</v>
      </c>
      <c r="B71" s="11">
        <v>-89156.715934000007</v>
      </c>
      <c r="C71" s="8"/>
      <c r="D71" s="8"/>
      <c r="E71" s="8"/>
    </row>
    <row r="72" spans="1:5" x14ac:dyDescent="0.3">
      <c r="A72" s="8" t="s">
        <v>345</v>
      </c>
      <c r="B72" s="11">
        <v>-43153.873517499997</v>
      </c>
      <c r="C72" s="8"/>
      <c r="D72" s="8"/>
      <c r="E72" s="8"/>
    </row>
    <row r="73" spans="1:5" x14ac:dyDescent="0.3">
      <c r="A73" s="8" t="s">
        <v>231</v>
      </c>
      <c r="B73" s="8">
        <v>0</v>
      </c>
      <c r="C73" s="8"/>
      <c r="D73" s="8"/>
      <c r="E73" s="8"/>
    </row>
    <row r="74" spans="1:5" x14ac:dyDescent="0.3">
      <c r="A74" s="8" t="s">
        <v>207</v>
      </c>
      <c r="B74" s="8">
        <v>47273.897095</v>
      </c>
      <c r="C74" s="8"/>
      <c r="D74" s="8"/>
      <c r="E74" s="8"/>
    </row>
    <row r="75" spans="1:5" x14ac:dyDescent="0.3">
      <c r="A75" s="8" t="s">
        <v>258</v>
      </c>
      <c r="B75" s="8">
        <v>106557.38887</v>
      </c>
      <c r="C75" s="8"/>
      <c r="D75" s="8"/>
      <c r="E75" s="8"/>
    </row>
    <row r="76" spans="1:5" x14ac:dyDescent="0.3">
      <c r="A76" s="8" t="s">
        <v>76</v>
      </c>
      <c r="B76" s="8">
        <v>133581.64413</v>
      </c>
      <c r="C76" s="8"/>
      <c r="D76" s="8"/>
      <c r="E76" s="8"/>
    </row>
    <row r="77" spans="1:5" ht="17.399999999999999" customHeight="1" x14ac:dyDescent="0.3">
      <c r="A77" s="9" t="s">
        <v>71</v>
      </c>
      <c r="B77" s="8">
        <v>184.51242999999999</v>
      </c>
      <c r="C77" s="8">
        <v>464.28199999999998</v>
      </c>
      <c r="D77" s="8">
        <v>0.4</v>
      </c>
      <c r="E77" s="8">
        <v>0.69159999999999999</v>
      </c>
    </row>
    <row r="78" spans="1:5" x14ac:dyDescent="0.3">
      <c r="A78" s="9" t="s">
        <v>166</v>
      </c>
      <c r="B78" s="8">
        <v>69.083459000000005</v>
      </c>
      <c r="C78" s="8">
        <v>12.439220000000001</v>
      </c>
      <c r="D78" s="8">
        <v>5.55</v>
      </c>
      <c r="E78" s="8" t="s">
        <v>336</v>
      </c>
    </row>
    <row r="79" spans="1:5" x14ac:dyDescent="0.3">
      <c r="A79" s="9" t="s">
        <v>149</v>
      </c>
      <c r="B79" s="8">
        <v>61.184175000000003</v>
      </c>
      <c r="C79" s="8">
        <v>12.358739999999999</v>
      </c>
      <c r="D79" s="8">
        <v>4.95</v>
      </c>
      <c r="E79" s="8" t="s">
        <v>336</v>
      </c>
    </row>
    <row r="80" spans="1:5" x14ac:dyDescent="0.3">
      <c r="A80" s="9" t="s">
        <v>270</v>
      </c>
      <c r="B80" s="8">
        <v>46.982599</v>
      </c>
      <c r="C80" s="8">
        <v>43.74727</v>
      </c>
      <c r="D80" s="8">
        <v>1.07</v>
      </c>
      <c r="E80" s="8">
        <v>0.28439999999999999</v>
      </c>
    </row>
    <row r="81" spans="1:5" x14ac:dyDescent="0.3">
      <c r="A81" s="9" t="s">
        <v>167</v>
      </c>
      <c r="B81" s="8">
        <v>28.608657999999998</v>
      </c>
      <c r="C81" s="8">
        <v>9.1789009999999998</v>
      </c>
      <c r="D81" s="8">
        <v>3.12</v>
      </c>
      <c r="E81" s="8">
        <v>2.2000000000000001E-3</v>
      </c>
    </row>
    <row r="82" spans="1:5" x14ac:dyDescent="0.3">
      <c r="A82" s="9" t="s">
        <v>199</v>
      </c>
      <c r="B82" s="8">
        <v>25273.623</v>
      </c>
      <c r="C82" s="8">
        <v>9120.2199999999993</v>
      </c>
      <c r="D82" s="8">
        <v>2.77</v>
      </c>
      <c r="E82" s="8">
        <v>6.1999999999999998E-3</v>
      </c>
    </row>
    <row r="83" spans="1:5" x14ac:dyDescent="0.3">
      <c r="A83" s="9" t="s">
        <v>296</v>
      </c>
      <c r="B83" s="8">
        <v>42091.021999999997</v>
      </c>
      <c r="C83" s="8">
        <v>11216.87</v>
      </c>
      <c r="D83" s="8">
        <v>3.75</v>
      </c>
      <c r="E83" s="8">
        <v>2.0000000000000001E-4</v>
      </c>
    </row>
    <row r="84" spans="1:5" x14ac:dyDescent="0.3">
      <c r="A84" s="9" t="s">
        <v>21</v>
      </c>
      <c r="B84" s="8">
        <v>10155.1</v>
      </c>
      <c r="C84" s="8">
        <v>2719.7449999999999</v>
      </c>
      <c r="D84" s="8">
        <v>3.73</v>
      </c>
      <c r="E84" s="8">
        <v>2.9999999999999997E-4</v>
      </c>
    </row>
    <row r="85" spans="1:5" x14ac:dyDescent="0.3">
      <c r="A85" s="9" t="s">
        <v>108</v>
      </c>
      <c r="B85" s="8">
        <v>50.678497</v>
      </c>
      <c r="C85" s="8">
        <v>21.894200000000001</v>
      </c>
      <c r="D85" s="8">
        <v>2.31</v>
      </c>
      <c r="E85" s="8">
        <v>2.1899999999999999E-2</v>
      </c>
    </row>
  </sheetData>
  <mergeCells count="3">
    <mergeCell ref="A50:E50"/>
    <mergeCell ref="A54:E54"/>
    <mergeCell ref="A68:E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C607-DDE0-49E3-9088-CF0A6AFDA760}">
  <dimension ref="A3:C15"/>
  <sheetViews>
    <sheetView workbookViewId="0">
      <selection activeCell="A4" sqref="A4:C15"/>
    </sheetView>
  </sheetViews>
  <sheetFormatPr defaultRowHeight="14.4" x14ac:dyDescent="0.3"/>
  <cols>
    <col min="1" max="1" width="10.77734375" bestFit="1" customWidth="1"/>
    <col min="2" max="2" width="8.33203125" bestFit="1" customWidth="1"/>
    <col min="3" max="3" width="15.77734375" bestFit="1" customWidth="1"/>
    <col min="4" max="4" width="13.77734375" bestFit="1" customWidth="1"/>
  </cols>
  <sheetData>
    <row r="3" spans="1:3" ht="28.8" x14ac:dyDescent="0.3">
      <c r="A3" s="16" t="s">
        <v>384</v>
      </c>
      <c r="B3" s="19" t="s">
        <v>383</v>
      </c>
      <c r="C3" s="18" t="s">
        <v>382</v>
      </c>
    </row>
    <row r="4" spans="1:3" x14ac:dyDescent="0.3">
      <c r="A4" s="14">
        <v>10</v>
      </c>
      <c r="B4" s="76">
        <v>27</v>
      </c>
      <c r="C4" s="76">
        <v>1.0094624900955387</v>
      </c>
    </row>
    <row r="5" spans="1:3" x14ac:dyDescent="0.3">
      <c r="A5" s="14">
        <v>20</v>
      </c>
      <c r="B5" s="76">
        <v>22</v>
      </c>
      <c r="C5" s="76">
        <v>1.025646446800857</v>
      </c>
    </row>
    <row r="6" spans="1:3" x14ac:dyDescent="0.3">
      <c r="A6" s="14">
        <v>30</v>
      </c>
      <c r="B6" s="76">
        <v>21</v>
      </c>
      <c r="C6" s="76">
        <v>0.99409168659048408</v>
      </c>
    </row>
    <row r="7" spans="1:3" x14ac:dyDescent="0.3">
      <c r="A7" s="14">
        <v>40</v>
      </c>
      <c r="B7" s="76">
        <v>18</v>
      </c>
      <c r="C7" s="76">
        <v>1.0907195711452313</v>
      </c>
    </row>
    <row r="8" spans="1:3" x14ac:dyDescent="0.3">
      <c r="A8" s="14">
        <v>50</v>
      </c>
      <c r="B8" s="76">
        <v>33</v>
      </c>
      <c r="C8" s="76">
        <v>0.98495636253803365</v>
      </c>
    </row>
    <row r="9" spans="1:3" x14ac:dyDescent="0.3">
      <c r="A9" s="14">
        <v>60</v>
      </c>
      <c r="B9" s="76">
        <v>35</v>
      </c>
      <c r="C9" s="76">
        <v>1.0278303118929784</v>
      </c>
    </row>
    <row r="10" spans="1:3" x14ac:dyDescent="0.3">
      <c r="A10" s="14">
        <v>70</v>
      </c>
      <c r="B10" s="76">
        <v>22</v>
      </c>
      <c r="C10" s="76">
        <v>1.051616848684952</v>
      </c>
    </row>
    <row r="11" spans="1:3" x14ac:dyDescent="0.3">
      <c r="A11" s="14">
        <v>80</v>
      </c>
      <c r="B11" s="76">
        <v>6</v>
      </c>
      <c r="C11" s="76">
        <v>0.97690687291167955</v>
      </c>
    </row>
    <row r="12" spans="1:3" x14ac:dyDescent="0.3">
      <c r="A12" s="14">
        <v>90</v>
      </c>
      <c r="B12" s="76">
        <v>1</v>
      </c>
      <c r="C12" s="76">
        <v>0.96028776978417263</v>
      </c>
    </row>
    <row r="13" spans="1:3" x14ac:dyDescent="0.3">
      <c r="A13" s="14">
        <v>100</v>
      </c>
      <c r="B13" s="76">
        <v>3</v>
      </c>
      <c r="C13" s="76">
        <v>1.1155015402263295</v>
      </c>
    </row>
    <row r="14" spans="1:3" x14ac:dyDescent="0.3">
      <c r="A14" s="14">
        <v>110</v>
      </c>
      <c r="B14" s="76">
        <v>3</v>
      </c>
      <c r="C14" s="76">
        <v>1.2139787101793473</v>
      </c>
    </row>
    <row r="15" spans="1:3" x14ac:dyDescent="0.3">
      <c r="A15" s="14" t="s">
        <v>381</v>
      </c>
      <c r="B15" s="76">
        <v>191</v>
      </c>
      <c r="C15" s="76">
        <v>1.0248793092710071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192"/>
  <sheetViews>
    <sheetView topLeftCell="A63" workbookViewId="0">
      <selection activeCell="L157" sqref="L157"/>
    </sheetView>
  </sheetViews>
  <sheetFormatPr defaultRowHeight="14.4" x14ac:dyDescent="0.3"/>
  <cols>
    <col min="2" max="2" width="12" bestFit="1" customWidth="1"/>
    <col min="3" max="3" width="9.44140625" customWidth="1"/>
    <col min="12" max="12" width="9.88671875" customWidth="1"/>
    <col min="18" max="18" width="9.109375" customWidth="1"/>
    <col min="21" max="21" width="9.5546875" customWidth="1"/>
    <col min="22" max="22" width="9.21875" customWidth="1"/>
    <col min="23" max="23" width="9.109375" customWidth="1"/>
    <col min="26" max="26" width="9.109375" customWidth="1"/>
    <col min="27" max="27" width="11.77734375" customWidth="1"/>
    <col min="28" max="28" width="12.109375" customWidth="1"/>
    <col min="29" max="29" width="14.77734375" customWidth="1"/>
    <col min="30" max="30" width="10.77734375" customWidth="1"/>
    <col min="31" max="31" width="12" customWidth="1"/>
    <col min="35" max="35" width="10.5546875" customWidth="1"/>
    <col min="36" max="36" width="10.21875" customWidth="1"/>
    <col min="37" max="37" width="10.44140625" customWidth="1"/>
    <col min="38" max="39" width="9.6640625" customWidth="1"/>
    <col min="40" max="40" width="9.33203125" customWidth="1"/>
    <col min="42" max="42" width="9.5546875" customWidth="1"/>
    <col min="43" max="43" width="12.6640625" customWidth="1"/>
    <col min="44" max="44" width="9.21875" customWidth="1"/>
    <col min="45" max="45" width="9.88671875" customWidth="1"/>
    <col min="47" max="47" width="9.44140625" customWidth="1"/>
    <col min="48" max="48" width="9.33203125" customWidth="1"/>
    <col min="52" max="52" width="11.33203125" customWidth="1"/>
    <col min="56" max="56" width="10.5546875" bestFit="1" customWidth="1"/>
    <col min="60" max="60" width="10.44140625" customWidth="1"/>
    <col min="69" max="69" width="16.33203125" customWidth="1"/>
    <col min="70" max="70" width="18.21875" customWidth="1"/>
    <col min="71" max="71" width="8.88671875" style="7"/>
    <col min="72" max="79" width="8.88671875" style="14"/>
    <col min="80" max="80" width="12" style="14" bestFit="1" customWidth="1"/>
    <col min="81" max="85" width="8.88671875" style="14"/>
    <col min="86" max="86" width="12" style="14" bestFit="1" customWidth="1"/>
    <col min="87" max="87" width="8.88671875" style="14"/>
  </cols>
  <sheetData>
    <row r="1" spans="1:109" ht="57.6" x14ac:dyDescent="0.3">
      <c r="A1" t="s">
        <v>85</v>
      </c>
      <c r="B1" t="s">
        <v>294</v>
      </c>
      <c r="C1" t="s">
        <v>184</v>
      </c>
      <c r="D1" t="s">
        <v>252</v>
      </c>
      <c r="E1" t="s">
        <v>0</v>
      </c>
      <c r="F1" t="s">
        <v>86</v>
      </c>
      <c r="G1" t="s">
        <v>226</v>
      </c>
      <c r="H1" t="s">
        <v>70</v>
      </c>
      <c r="I1" t="s">
        <v>43</v>
      </c>
      <c r="J1" t="s">
        <v>227</v>
      </c>
      <c r="K1" t="s">
        <v>126</v>
      </c>
      <c r="L1" t="s">
        <v>18</v>
      </c>
      <c r="M1" t="s">
        <v>127</v>
      </c>
      <c r="N1" t="s">
        <v>185</v>
      </c>
      <c r="O1" t="s">
        <v>87</v>
      </c>
      <c r="P1" t="s">
        <v>107</v>
      </c>
      <c r="Q1" t="s">
        <v>269</v>
      </c>
      <c r="R1" t="s">
        <v>44</v>
      </c>
      <c r="S1" t="s">
        <v>71</v>
      </c>
      <c r="T1" t="s">
        <v>295</v>
      </c>
      <c r="U1" t="s">
        <v>19</v>
      </c>
      <c r="V1" t="s">
        <v>166</v>
      </c>
      <c r="W1" t="s">
        <v>149</v>
      </c>
      <c r="X1" t="s">
        <v>270</v>
      </c>
      <c r="Y1" t="s">
        <v>167</v>
      </c>
      <c r="Z1" t="s">
        <v>45</v>
      </c>
      <c r="AA1" t="s">
        <v>1</v>
      </c>
      <c r="AB1" t="s">
        <v>228</v>
      </c>
      <c r="AC1" t="s">
        <v>168</v>
      </c>
      <c r="AD1" t="s">
        <v>128</v>
      </c>
      <c r="AE1" t="s">
        <v>150</v>
      </c>
      <c r="AF1" t="s">
        <v>312</v>
      </c>
      <c r="AG1" t="s">
        <v>20</v>
      </c>
      <c r="AH1" t="s">
        <v>253</v>
      </c>
      <c r="AI1" t="s">
        <v>46</v>
      </c>
      <c r="AJ1" t="s">
        <v>199</v>
      </c>
      <c r="AK1" t="s">
        <v>296</v>
      </c>
      <c r="AL1" t="s">
        <v>229</v>
      </c>
      <c r="AM1" t="s">
        <v>200</v>
      </c>
      <c r="AN1" t="s">
        <v>21</v>
      </c>
      <c r="AO1" t="s">
        <v>88</v>
      </c>
      <c r="AP1" t="s">
        <v>271</v>
      </c>
      <c r="AQ1" t="s">
        <v>108</v>
      </c>
      <c r="AR1" t="s">
        <v>72</v>
      </c>
      <c r="AS1" t="s">
        <v>297</v>
      </c>
      <c r="AT1" t="s">
        <v>254</v>
      </c>
      <c r="AU1" t="s">
        <v>186</v>
      </c>
      <c r="AV1" t="s">
        <v>22</v>
      </c>
      <c r="AW1" t="s">
        <v>169</v>
      </c>
      <c r="AX1" t="s">
        <v>2</v>
      </c>
      <c r="AY1" t="s">
        <v>298</v>
      </c>
      <c r="AZ1" t="s">
        <v>23</v>
      </c>
      <c r="BA1" t="s">
        <v>299</v>
      </c>
      <c r="BB1" t="s">
        <v>47</v>
      </c>
      <c r="BC1" t="s">
        <v>129</v>
      </c>
      <c r="BD1" t="s">
        <v>272</v>
      </c>
      <c r="BE1" t="s">
        <v>300</v>
      </c>
      <c r="BF1" t="s">
        <v>301</v>
      </c>
      <c r="BG1" t="s">
        <v>24</v>
      </c>
      <c r="BH1" t="s">
        <v>201</v>
      </c>
      <c r="BI1" t="s">
        <v>202</v>
      </c>
      <c r="BJ1" t="s">
        <v>3</v>
      </c>
      <c r="BK1" t="s">
        <v>73</v>
      </c>
      <c r="BL1" t="s">
        <v>48</v>
      </c>
      <c r="BM1" t="s">
        <v>74</v>
      </c>
      <c r="BN1" t="s">
        <v>170</v>
      </c>
      <c r="BO1" t="s">
        <v>130</v>
      </c>
      <c r="BP1" t="s">
        <v>187</v>
      </c>
      <c r="BQ1" t="s">
        <v>255</v>
      </c>
      <c r="BR1" t="s">
        <v>151</v>
      </c>
      <c r="BS1" s="7" t="s">
        <v>329</v>
      </c>
      <c r="BT1" s="12" t="s">
        <v>346</v>
      </c>
      <c r="BU1" s="12" t="s">
        <v>347</v>
      </c>
      <c r="BV1" s="12" t="s">
        <v>348</v>
      </c>
      <c r="BW1" s="12" t="s">
        <v>349</v>
      </c>
      <c r="BX1" s="12" t="s">
        <v>350</v>
      </c>
      <c r="BY1" s="12" t="s">
        <v>351</v>
      </c>
      <c r="BZ1" s="12" t="s">
        <v>352</v>
      </c>
      <c r="CA1" s="12" t="s">
        <v>353</v>
      </c>
      <c r="CB1" s="12" t="s">
        <v>354</v>
      </c>
      <c r="CC1" s="12" t="s">
        <v>355</v>
      </c>
      <c r="CD1" s="12" t="s">
        <v>356</v>
      </c>
      <c r="CE1" s="12" t="s">
        <v>357</v>
      </c>
      <c r="CF1" s="12" t="s">
        <v>385</v>
      </c>
      <c r="CG1" s="12" t="s">
        <v>386</v>
      </c>
      <c r="CH1" s="12" t="s">
        <v>387</v>
      </c>
      <c r="CI1" s="12" t="s">
        <v>358</v>
      </c>
      <c r="CJ1" s="12" t="s">
        <v>359</v>
      </c>
      <c r="CK1" s="12" t="s">
        <v>360</v>
      </c>
      <c r="CL1" s="12" t="s">
        <v>361</v>
      </c>
      <c r="CM1" s="12" t="s">
        <v>362</v>
      </c>
      <c r="CN1" s="13" t="s">
        <v>363</v>
      </c>
      <c r="CO1" s="13" t="s">
        <v>364</v>
      </c>
      <c r="CP1" s="12" t="s">
        <v>365</v>
      </c>
      <c r="CQ1" s="12" t="s">
        <v>366</v>
      </c>
      <c r="CR1" s="12" t="s">
        <v>367</v>
      </c>
      <c r="CS1" s="12" t="s">
        <v>368</v>
      </c>
      <c r="CT1" s="12" t="s">
        <v>369</v>
      </c>
      <c r="CU1" s="12" t="s">
        <v>370</v>
      </c>
      <c r="CV1" s="12" t="s">
        <v>371</v>
      </c>
      <c r="CW1" s="12" t="s">
        <v>372</v>
      </c>
      <c r="CX1" s="12" t="s">
        <v>373</v>
      </c>
      <c r="CY1" s="12" t="s">
        <v>374</v>
      </c>
      <c r="CZ1" s="12" t="s">
        <v>375</v>
      </c>
      <c r="DA1" s="12" t="s">
        <v>376</v>
      </c>
      <c r="DB1" s="13" t="s">
        <v>377</v>
      </c>
      <c r="DC1" s="13" t="s">
        <v>378</v>
      </c>
      <c r="DD1" s="13" t="s">
        <v>379</v>
      </c>
      <c r="DE1" s="13" t="s">
        <v>380</v>
      </c>
    </row>
    <row r="2" spans="1:109" x14ac:dyDescent="0.3">
      <c r="A2">
        <v>2025</v>
      </c>
      <c r="B2">
        <v>18131923425</v>
      </c>
      <c r="C2">
        <v>-3.912023005428146</v>
      </c>
      <c r="D2">
        <v>0.02</v>
      </c>
      <c r="E2">
        <v>8000</v>
      </c>
      <c r="F2">
        <v>1</v>
      </c>
      <c r="G2" t="s">
        <v>89</v>
      </c>
      <c r="H2" t="s">
        <v>302</v>
      </c>
      <c r="I2" t="s">
        <v>302</v>
      </c>
      <c r="J2" t="s">
        <v>26</v>
      </c>
      <c r="K2">
        <v>11</v>
      </c>
      <c r="L2">
        <v>259</v>
      </c>
      <c r="M2" t="s">
        <v>131</v>
      </c>
      <c r="N2" t="s">
        <v>257</v>
      </c>
      <c r="O2" t="s">
        <v>76</v>
      </c>
      <c r="P2">
        <v>2023</v>
      </c>
      <c r="Q2">
        <v>2023</v>
      </c>
      <c r="R2">
        <v>10</v>
      </c>
      <c r="S2">
        <v>1</v>
      </c>
      <c r="T2">
        <v>1</v>
      </c>
      <c r="U2">
        <v>2</v>
      </c>
      <c r="V2">
        <v>1864</v>
      </c>
      <c r="W2">
        <v>0</v>
      </c>
      <c r="X2">
        <v>0</v>
      </c>
      <c r="Y2">
        <v>0</v>
      </c>
      <c r="Z2">
        <v>0</v>
      </c>
      <c r="AA2">
        <v>0</v>
      </c>
      <c r="AB2">
        <v>1864</v>
      </c>
      <c r="AC2">
        <v>2000</v>
      </c>
      <c r="AD2">
        <v>3</v>
      </c>
      <c r="AE2" t="s">
        <v>132</v>
      </c>
      <c r="AF2" t="s">
        <v>153</v>
      </c>
      <c r="AG2" t="s">
        <v>274</v>
      </c>
      <c r="AI2">
        <v>0</v>
      </c>
      <c r="AJ2">
        <v>0</v>
      </c>
      <c r="AK2">
        <v>1</v>
      </c>
      <c r="AL2">
        <v>0</v>
      </c>
      <c r="AM2">
        <v>1</v>
      </c>
      <c r="AN2">
        <v>12</v>
      </c>
      <c r="AO2">
        <v>600</v>
      </c>
      <c r="AP2">
        <v>0</v>
      </c>
      <c r="AQ2">
        <v>600</v>
      </c>
      <c r="AR2">
        <v>0</v>
      </c>
      <c r="AS2">
        <v>0</v>
      </c>
      <c r="AT2">
        <v>0</v>
      </c>
      <c r="AU2">
        <v>0</v>
      </c>
      <c r="AV2">
        <v>100</v>
      </c>
      <c r="AW2">
        <v>100</v>
      </c>
      <c r="AX2">
        <v>480295</v>
      </c>
      <c r="AY2">
        <v>480295</v>
      </c>
      <c r="AZ2">
        <v>116</v>
      </c>
      <c r="BA2">
        <v>116</v>
      </c>
      <c r="BB2">
        <v>0</v>
      </c>
      <c r="BC2">
        <v>0</v>
      </c>
      <c r="BD2" s="6">
        <v>45176</v>
      </c>
      <c r="BE2" t="s">
        <v>16</v>
      </c>
      <c r="BF2">
        <v>494900</v>
      </c>
      <c r="BG2">
        <v>494900</v>
      </c>
      <c r="BH2" t="s">
        <v>198</v>
      </c>
      <c r="BI2">
        <v>30</v>
      </c>
      <c r="BJ2" t="s">
        <v>51</v>
      </c>
      <c r="BK2" t="s">
        <v>314</v>
      </c>
      <c r="BL2">
        <v>519400</v>
      </c>
      <c r="BM2">
        <v>63100</v>
      </c>
      <c r="BN2">
        <v>456300</v>
      </c>
      <c r="BO2">
        <v>0</v>
      </c>
      <c r="BP2">
        <v>1.0495049504950495</v>
      </c>
      <c r="BQ2">
        <v>515070.38758856879</v>
      </c>
      <c r="BR2">
        <v>533417.17526435573</v>
      </c>
      <c r="BS2" s="7">
        <f>(BR2-BL2)/BL2</f>
        <v>2.6987245406922846E-2</v>
      </c>
      <c r="BT2" s="14">
        <f>(Sales[[#This Row],[DP1]]*Lookups!$B$51)+(Sales[[#This Row],[DP2]]*Lookups!$B$52)+(Sales[[#This Row],[DP3]]*Lookups!$B$53)</f>
        <v>-18346.792000000001</v>
      </c>
      <c r="BU2" s="14">
        <f>Lookups!$B$48*0.5</f>
        <v>87214.824999999997</v>
      </c>
      <c r="BV2" s="14">
        <f>Lookups!$B$48*0.5</f>
        <v>87214.824999999997</v>
      </c>
      <c r="BW2" s="14">
        <f>Lookups!$B$49*Sales[[#This Row],[LnAcres]]</f>
        <v>-97909.509328312808</v>
      </c>
      <c r="BX2" s="14">
        <f>VLOOKUP(Sales[[#This Row],[Qlty]],Lookups!$A$54:$E$67,2,FALSE)</f>
        <v>0</v>
      </c>
      <c r="BY2" s="14">
        <f>VLOOKUP(Sales[[#This Row],[Cnd]],Lookups!$A$68:$E$76,2,FALSE)</f>
        <v>133581.64413</v>
      </c>
      <c r="BZ2" s="14">
        <f>Sales[[#This Row],[Age]]*Lookups!$B$77</f>
        <v>184.51242999999999</v>
      </c>
      <c r="CA2" s="14">
        <f>Sales[[#This Row],[MainFn]]*Lookups!$B$78</f>
        <v>128771.56757600002</v>
      </c>
      <c r="CB2" s="14">
        <f>Sales[[#This Row],[UpprFn]]*Lookups!$B$79</f>
        <v>0</v>
      </c>
      <c r="CC2" s="14">
        <f>Sales[[#This Row],[AddFn]]*Lookups!$B$80</f>
        <v>0</v>
      </c>
      <c r="CD2" s="14">
        <f>Sales[[#This Row],[Bsmt]]*Lookups!$B$81</f>
        <v>0</v>
      </c>
      <c r="CE2" s="14">
        <f>Sales[[#This Row],[Fixtures]]*Lookups!$B$84</f>
        <v>121861.20000000001</v>
      </c>
      <c r="CF2" s="14">
        <f>Sales[[#This Row],[MsnryFP]]*Lookups!$B$82</f>
        <v>0</v>
      </c>
      <c r="CG2" s="14">
        <f>Sales[[#This Row],[PrefabFP]]*Lookups!$B$83</f>
        <v>42091.021999999997</v>
      </c>
      <c r="CH2" s="14">
        <f>Sales[[#This Row],[GarageArea]]*Lookups!$B$85</f>
        <v>30407.0982</v>
      </c>
      <c r="CI2" s="14">
        <f>SUM(Sales[[#This Row],[Days Prior Total]:[Mdl GarageArea]])</f>
        <v>515070.39300768723</v>
      </c>
      <c r="CJ2" s="14">
        <f>ROUND(Sales[[#This Row],[25Det]],-2)</f>
        <v>0</v>
      </c>
      <c r="CK2" s="14">
        <f>ROUND(SUM(Sales[[#This Row],[Mdl Qlty]:[Mdl GarageArea]])+Sales[[#This Row],[Mdl Res Intercept]]+Sales[[#This Row],[Days Prior Total]],-2)</f>
        <v>525800</v>
      </c>
      <c r="CL2" s="14">
        <f>ROUND(Sales[[#This Row],[Mdl Land Intercept]]+Sales[[#This Row],[Mdl LnAcres]],-2)</f>
        <v>-10700</v>
      </c>
      <c r="CM2" s="14">
        <f>Sales[[#This Row],[Unadj Res Value]]+Sales[[#This Row],[Unadj Det Value]]+Sales[[#This Row],[Unadj Land Value]]</f>
        <v>515100</v>
      </c>
      <c r="CN2" s="15">
        <f>Sales[[#This Row],[Unadj Total Value]]/Sales[[#This Row],[Price]]</f>
        <v>1.0408163265306123</v>
      </c>
      <c r="CO2" s="15">
        <f>(Sales[[#This Row],[Unadj Total Value]]-Sales[[#This Row],[24Final]])/Sales[[#This Row],[24Final]]</f>
        <v>-8.278783211397767E-3</v>
      </c>
      <c r="CP2">
        <f>VLOOKUP(Sales[[#This Row],[TNbhd]],Lookups!$M$2:$P$4,4,FALSE)</f>
        <v>0.97570000000000001</v>
      </c>
      <c r="CQ2">
        <f>VLOOKUP(Sales[[#This Row],[Qlty]],Lookups!$M$6:$P$20,4,FALSE)</f>
        <v>1.0046999999999999</v>
      </c>
      <c r="CR2">
        <f>VLOOKUP(Sales[[#This Row],[Cnd]],Lookups!$R$6:$U$15,4,FALSE)</f>
        <v>0.98370000000000002</v>
      </c>
      <c r="CS2">
        <f>VLOOKUP(Sales[[#This Row],[LivArea Range]],Lookups!$R$23:$U$39,4,FALSE)</f>
        <v>0.99099999999999999</v>
      </c>
      <c r="CT2">
        <f>VLOOKUP(Sales[[#This Row],[Decade]],Lookups!$M$23:$P$35,4,FALSE)</f>
        <v>0.99060000000000004</v>
      </c>
      <c r="CU2">
        <f>Sales[[#This Row],[Nbhd Adj]]*0.95</f>
        <v>0.92691499999999993</v>
      </c>
      <c r="CV2">
        <f>Sales[[#This Row],[Nbhd Adj]]*Sales[[#This Row],[Quality Adj]]*Sales[[#This Row],[Condition Adj]]*Sales[[#This Row],[Living Area Adj]]*Sales[[#This Row],[Decade Adj]]*0.95</f>
        <v>0.89931318774524849</v>
      </c>
      <c r="CW2">
        <f>ROUND(SUM(Sales[[#This Row],[Mdl Qlty]:[Mdl GarageArea]])+Sales[[#This Row],[Mdl Res Intercept]]*Sales[[#This Row],[Res Adj ]],-2)</f>
        <v>535300</v>
      </c>
      <c r="CX2">
        <f>ROUND(Sales[[#This Row],[25Det]]*Sales[[#This Row],[Det/Nbhd Adj]],-2)</f>
        <v>0</v>
      </c>
      <c r="CY2">
        <f>Sales[[#This Row],[Adjusted Res]]+Sales[[#This Row],[Adj Det ]]</f>
        <v>535300</v>
      </c>
      <c r="CZ2">
        <f>ROUND((Sales[[#This Row],[Mdl Land Intercept]]+Sales[[#This Row],[Mdl LnAcres]])*Sales[[#This Row],[Det/Nbhd Adj]],-2)</f>
        <v>-9900</v>
      </c>
      <c r="DA2">
        <f>Sales[[#This Row],[Adjusted Impr Total]]+Sales[[#This Row],[Adjusted Land Total]]</f>
        <v>525400</v>
      </c>
      <c r="DB2">
        <f>IFERROR((Sales[[#This Row],[Adjusted Impr Total]]-Sales[[#This Row],[24Bldg]])/Sales[[#This Row],[24Bldg]],0)</f>
        <v>0.17313171159325005</v>
      </c>
      <c r="DC2">
        <f>(Sales[[#This Row],[Adjusted Land Total]]-Sales[[#This Row],[24Lnd]])/Sales[[#This Row],[24Lnd]]</f>
        <v>-1.1568938193343898</v>
      </c>
      <c r="DD2">
        <f>(Sales[[#This Row],[Adjusted Total]]-Sales[[#This Row],[24Final]])/Sales[[#This Row],[24Final]]</f>
        <v>1.1551790527531768E-2</v>
      </c>
      <c r="DE2">
        <f>(Sales[[#This Row],[Adjusted Total]]+Sales[[#This Row],[Days Prior Total]])/Sales[[#This Row],[Price]]</f>
        <v>1.0245568963426954</v>
      </c>
    </row>
    <row r="3" spans="1:109" x14ac:dyDescent="0.3">
      <c r="A3">
        <v>2025</v>
      </c>
      <c r="B3">
        <v>18131923422</v>
      </c>
      <c r="C3">
        <v>-1.7719568419318752</v>
      </c>
      <c r="D3">
        <v>0.17</v>
      </c>
      <c r="E3">
        <v>7415</v>
      </c>
      <c r="F3">
        <v>1</v>
      </c>
      <c r="G3" t="s">
        <v>89</v>
      </c>
      <c r="H3">
        <v>3042</v>
      </c>
      <c r="I3" t="s">
        <v>302</v>
      </c>
      <c r="J3" t="s">
        <v>26</v>
      </c>
      <c r="K3">
        <v>11</v>
      </c>
      <c r="L3">
        <v>259</v>
      </c>
      <c r="M3" t="s">
        <v>131</v>
      </c>
      <c r="N3" t="s">
        <v>205</v>
      </c>
      <c r="O3" t="s">
        <v>76</v>
      </c>
      <c r="P3">
        <v>2023</v>
      </c>
      <c r="Q3">
        <v>2023</v>
      </c>
      <c r="R3">
        <v>10</v>
      </c>
      <c r="S3">
        <v>1</v>
      </c>
      <c r="T3">
        <v>1</v>
      </c>
      <c r="U3">
        <v>2</v>
      </c>
      <c r="V3">
        <v>1380</v>
      </c>
      <c r="W3">
        <v>840</v>
      </c>
      <c r="X3">
        <v>0</v>
      </c>
      <c r="Y3">
        <v>0</v>
      </c>
      <c r="Z3">
        <v>0</v>
      </c>
      <c r="AA3">
        <v>0</v>
      </c>
      <c r="AB3">
        <v>2220</v>
      </c>
      <c r="AC3">
        <v>2500</v>
      </c>
      <c r="AD3">
        <v>3</v>
      </c>
      <c r="AE3" t="s">
        <v>132</v>
      </c>
      <c r="AF3" t="s">
        <v>275</v>
      </c>
      <c r="AG3" t="s">
        <v>111</v>
      </c>
      <c r="AI3">
        <v>0</v>
      </c>
      <c r="AJ3">
        <v>0</v>
      </c>
      <c r="AK3">
        <v>1</v>
      </c>
      <c r="AL3">
        <v>0</v>
      </c>
      <c r="AM3">
        <v>1</v>
      </c>
      <c r="AN3">
        <v>12</v>
      </c>
      <c r="AO3">
        <v>660</v>
      </c>
      <c r="AP3">
        <v>0</v>
      </c>
      <c r="AQ3">
        <v>660</v>
      </c>
      <c r="AR3">
        <v>0</v>
      </c>
      <c r="AS3">
        <v>0</v>
      </c>
      <c r="AT3">
        <v>0</v>
      </c>
      <c r="AU3">
        <v>0</v>
      </c>
      <c r="AV3">
        <v>100</v>
      </c>
      <c r="AW3">
        <v>100</v>
      </c>
      <c r="AX3">
        <v>356506</v>
      </c>
      <c r="AY3">
        <v>356506</v>
      </c>
      <c r="AZ3">
        <v>186</v>
      </c>
      <c r="BA3">
        <v>186</v>
      </c>
      <c r="BB3">
        <v>0</v>
      </c>
      <c r="BC3">
        <v>0</v>
      </c>
      <c r="BD3" s="6">
        <v>45106</v>
      </c>
      <c r="BE3" t="s">
        <v>197</v>
      </c>
      <c r="BF3">
        <v>494500</v>
      </c>
      <c r="BG3">
        <v>494500</v>
      </c>
      <c r="BH3" t="s">
        <v>198</v>
      </c>
      <c r="BI3">
        <v>30</v>
      </c>
      <c r="BJ3" t="s">
        <v>51</v>
      </c>
      <c r="BK3" t="s">
        <v>314</v>
      </c>
      <c r="BL3">
        <v>492500</v>
      </c>
      <c r="BM3">
        <v>59900</v>
      </c>
      <c r="BN3">
        <v>432600</v>
      </c>
      <c r="BO3">
        <v>0</v>
      </c>
      <c r="BP3">
        <v>0.99595551061678467</v>
      </c>
      <c r="BQ3">
        <v>548245.65302801505</v>
      </c>
      <c r="BR3">
        <v>577663.77809436305</v>
      </c>
      <c r="BS3" s="7">
        <f>(BR3-BL3)/BL3</f>
        <v>0.17292137684134629</v>
      </c>
      <c r="BT3" s="14">
        <f>(Sales[[#This Row],[DP1]]*Lookups!$B$51)+(Sales[[#This Row],[DP2]]*Lookups!$B$52)+(Sales[[#This Row],[DP3]]*Lookups!$B$53)</f>
        <v>-29418.132000000001</v>
      </c>
      <c r="BU3" s="14">
        <f>Lookups!$B$48*0.5</f>
        <v>87214.824999999997</v>
      </c>
      <c r="BV3" s="14">
        <f>Lookups!$B$48*0.5</f>
        <v>87214.824999999997</v>
      </c>
      <c r="BW3" s="14">
        <f>Lookups!$B$49*Sales[[#This Row],[LnAcres]]</f>
        <v>-44348.26295851732</v>
      </c>
      <c r="BX3" s="14">
        <f>VLOOKUP(Sales[[#This Row],[Qlty]],Lookups!$A$54:$E$67,2,FALSE)</f>
        <v>30313.66692</v>
      </c>
      <c r="BY3" s="14">
        <f>VLOOKUP(Sales[[#This Row],[Cnd]],Lookups!$A$68:$E$76,2,FALSE)</f>
        <v>133581.64413</v>
      </c>
      <c r="BZ3" s="14">
        <f>Sales[[#This Row],[Age]]*Lookups!$B$77</f>
        <v>184.51242999999999</v>
      </c>
      <c r="CA3" s="14">
        <f>Sales[[#This Row],[MainFn]]*Lookups!$B$78</f>
        <v>95335.173420000006</v>
      </c>
      <c r="CB3" s="14">
        <f>Sales[[#This Row],[UpprFn]]*Lookups!$B$79</f>
        <v>51394.707000000002</v>
      </c>
      <c r="CC3" s="14">
        <f>Sales[[#This Row],[AddFn]]*Lookups!$B$80</f>
        <v>0</v>
      </c>
      <c r="CD3" s="14">
        <f>Sales[[#This Row],[Bsmt]]*Lookups!$B$81</f>
        <v>0</v>
      </c>
      <c r="CE3" s="14">
        <f>Sales[[#This Row],[Fixtures]]*Lookups!$B$84</f>
        <v>121861.20000000001</v>
      </c>
      <c r="CF3" s="14">
        <f>Sales[[#This Row],[MsnryFP]]*Lookups!$B$82</f>
        <v>0</v>
      </c>
      <c r="CG3" s="14">
        <f>Sales[[#This Row],[PrefabFP]]*Lookups!$B$83</f>
        <v>42091.021999999997</v>
      </c>
      <c r="CH3" s="14">
        <f>Sales[[#This Row],[GarageArea]]*Lookups!$B$85</f>
        <v>33447.808019999997</v>
      </c>
      <c r="CI3" s="14">
        <f>SUM(Sales[[#This Row],[Days Prior Total]:[Mdl GarageArea]])</f>
        <v>608872.98896148265</v>
      </c>
      <c r="CJ3" s="14">
        <f>ROUND(Sales[[#This Row],[25Det]],-2)</f>
        <v>0</v>
      </c>
      <c r="CK3" s="14">
        <f>ROUND(SUM(Sales[[#This Row],[Mdl Qlty]:[Mdl GarageArea]])+Sales[[#This Row],[Mdl Res Intercept]]+Sales[[#This Row],[Days Prior Total]],-2)</f>
        <v>566000</v>
      </c>
      <c r="CL3" s="14">
        <f>ROUND(Sales[[#This Row],[Mdl Land Intercept]]+Sales[[#This Row],[Mdl LnAcres]],-2)</f>
        <v>42900</v>
      </c>
      <c r="CM3" s="14">
        <f>Sales[[#This Row],[Unadj Res Value]]+Sales[[#This Row],[Unadj Det Value]]+Sales[[#This Row],[Unadj Land Value]]</f>
        <v>608900</v>
      </c>
      <c r="CN3" s="15">
        <f>Sales[[#This Row],[Unadj Total Value]]/Sales[[#This Row],[Price]]</f>
        <v>1.231344792719919</v>
      </c>
      <c r="CO3" s="15">
        <f>(Sales[[#This Row],[Unadj Total Value]]-Sales[[#This Row],[24Final]])/Sales[[#This Row],[24Final]]</f>
        <v>0.23634517766497462</v>
      </c>
      <c r="CP3">
        <f>VLOOKUP(Sales[[#This Row],[TNbhd]],Lookups!$M$2:$P$4,4,FALSE)</f>
        <v>0.97570000000000001</v>
      </c>
      <c r="CQ3">
        <f>VLOOKUP(Sales[[#This Row],[Qlty]],Lookups!$M$6:$P$20,4,FALSE)</f>
        <v>0.85299999999999998</v>
      </c>
      <c r="CR3">
        <f>VLOOKUP(Sales[[#This Row],[Cnd]],Lookups!$R$6:$U$15,4,FALSE)</f>
        <v>0.98370000000000002</v>
      </c>
      <c r="CS3">
        <f>VLOOKUP(Sales[[#This Row],[LivArea Range]],Lookups!$R$23:$U$39,4,FALSE)</f>
        <v>0.93440000000000001</v>
      </c>
      <c r="CT3">
        <f>VLOOKUP(Sales[[#This Row],[Decade]],Lookups!$M$23:$P$35,4,FALSE)</f>
        <v>0.99060000000000004</v>
      </c>
      <c r="CU3">
        <f>Sales[[#This Row],[Nbhd Adj]]*0.95</f>
        <v>0.92691499999999993</v>
      </c>
      <c r="CV3">
        <f>Sales[[#This Row],[Nbhd Adj]]*Sales[[#This Row],[Quality Adj]]*Sales[[#This Row],[Condition Adj]]*Sales[[#This Row],[Living Area Adj]]*Sales[[#This Row],[Decade Adj]]*0.95</f>
        <v>0.7199175589790282</v>
      </c>
      <c r="CW3">
        <f>ROUND(SUM(Sales[[#This Row],[Mdl Qlty]:[Mdl GarageArea]])+Sales[[#This Row],[Mdl Res Intercept]]*Sales[[#This Row],[Res Adj ]],-2)</f>
        <v>571000</v>
      </c>
      <c r="CX3">
        <f>ROUND(Sales[[#This Row],[25Det]]*Sales[[#This Row],[Det/Nbhd Adj]],-2)</f>
        <v>0</v>
      </c>
      <c r="CY3">
        <f>Sales[[#This Row],[Adjusted Res]]+Sales[[#This Row],[Adj Det ]]</f>
        <v>571000</v>
      </c>
      <c r="CZ3">
        <f>ROUND((Sales[[#This Row],[Mdl Land Intercept]]+Sales[[#This Row],[Mdl LnAcres]])*Sales[[#This Row],[Det/Nbhd Adj]],-2)</f>
        <v>39700</v>
      </c>
      <c r="DA3">
        <f>Sales[[#This Row],[Adjusted Impr Total]]+Sales[[#This Row],[Adjusted Land Total]]</f>
        <v>610700</v>
      </c>
      <c r="DB3">
        <f>IFERROR((Sales[[#This Row],[Adjusted Impr Total]]-Sales[[#This Row],[24Bldg]])/Sales[[#This Row],[24Bldg]],0)</f>
        <v>0.31992602866389275</v>
      </c>
      <c r="DC3">
        <f>(Sales[[#This Row],[Adjusted Land Total]]-Sales[[#This Row],[24Lnd]])/Sales[[#This Row],[24Lnd]]</f>
        <v>-0.337228714524207</v>
      </c>
      <c r="DD3">
        <f>(Sales[[#This Row],[Adjusted Total]]-Sales[[#This Row],[24Final]])/Sales[[#This Row],[24Final]]</f>
        <v>0.24</v>
      </c>
      <c r="DE3">
        <f>(Sales[[#This Row],[Adjusted Total]]+Sales[[#This Row],[Days Prior Total]])/Sales[[#This Row],[Price]]</f>
        <v>1.1754941718907987</v>
      </c>
    </row>
    <row r="4" spans="1:109" x14ac:dyDescent="0.3">
      <c r="A4">
        <v>2025</v>
      </c>
      <c r="B4">
        <v>18131923421</v>
      </c>
      <c r="C4">
        <v>-3.912023005428146</v>
      </c>
      <c r="D4">
        <v>0.02</v>
      </c>
      <c r="E4">
        <v>8000</v>
      </c>
      <c r="F4">
        <v>1</v>
      </c>
      <c r="G4" t="s">
        <v>89</v>
      </c>
      <c r="H4" t="s">
        <v>302</v>
      </c>
      <c r="I4" t="s">
        <v>302</v>
      </c>
      <c r="J4" t="s">
        <v>26</v>
      </c>
      <c r="K4">
        <v>11</v>
      </c>
      <c r="L4">
        <v>256</v>
      </c>
      <c r="M4" t="s">
        <v>131</v>
      </c>
      <c r="N4" t="s">
        <v>111</v>
      </c>
      <c r="O4" t="s">
        <v>76</v>
      </c>
      <c r="P4">
        <v>2023</v>
      </c>
      <c r="Q4">
        <v>2023</v>
      </c>
      <c r="R4">
        <v>10</v>
      </c>
      <c r="S4">
        <v>1</v>
      </c>
      <c r="T4">
        <v>1</v>
      </c>
      <c r="U4">
        <v>1</v>
      </c>
      <c r="V4">
        <v>2026</v>
      </c>
      <c r="W4">
        <v>0</v>
      </c>
      <c r="X4">
        <v>0</v>
      </c>
      <c r="Y4">
        <v>0</v>
      </c>
      <c r="Z4">
        <v>0</v>
      </c>
      <c r="AA4">
        <v>0</v>
      </c>
      <c r="AB4">
        <v>2026</v>
      </c>
      <c r="AC4">
        <v>2500</v>
      </c>
      <c r="AD4">
        <v>3</v>
      </c>
      <c r="AF4" t="s">
        <v>153</v>
      </c>
      <c r="AG4" t="s">
        <v>274</v>
      </c>
      <c r="AI4">
        <v>0</v>
      </c>
      <c r="AJ4">
        <v>0</v>
      </c>
      <c r="AK4">
        <v>1</v>
      </c>
      <c r="AL4">
        <v>0</v>
      </c>
      <c r="AM4">
        <v>0</v>
      </c>
      <c r="AN4">
        <v>9</v>
      </c>
      <c r="AO4">
        <v>560</v>
      </c>
      <c r="AP4">
        <v>0</v>
      </c>
      <c r="AQ4">
        <v>560</v>
      </c>
      <c r="AR4">
        <v>0</v>
      </c>
      <c r="AS4">
        <v>0</v>
      </c>
      <c r="AT4">
        <v>0</v>
      </c>
      <c r="AU4">
        <v>0</v>
      </c>
      <c r="AV4">
        <v>100</v>
      </c>
      <c r="AW4">
        <v>100</v>
      </c>
      <c r="AX4">
        <v>391495</v>
      </c>
      <c r="AY4">
        <v>391495</v>
      </c>
      <c r="AZ4">
        <v>54</v>
      </c>
      <c r="BA4">
        <v>54</v>
      </c>
      <c r="BB4">
        <v>0</v>
      </c>
      <c r="BC4">
        <v>0</v>
      </c>
      <c r="BD4" s="6">
        <v>45238</v>
      </c>
      <c r="BE4" t="s">
        <v>147</v>
      </c>
      <c r="BF4">
        <v>474630</v>
      </c>
      <c r="BG4">
        <v>474630</v>
      </c>
      <c r="BH4" t="s">
        <v>198</v>
      </c>
      <c r="BI4">
        <v>30</v>
      </c>
      <c r="BJ4" t="s">
        <v>51</v>
      </c>
      <c r="BK4" t="s">
        <v>314</v>
      </c>
      <c r="BL4">
        <v>221800</v>
      </c>
      <c r="BM4">
        <v>63100</v>
      </c>
      <c r="BN4">
        <v>158700</v>
      </c>
      <c r="BO4">
        <v>0</v>
      </c>
      <c r="BP4">
        <v>0.46731137939026191</v>
      </c>
      <c r="BQ4">
        <v>489245.81640861084</v>
      </c>
      <c r="BR4">
        <v>497786.5623956151</v>
      </c>
      <c r="BS4" s="7">
        <f>(BR4-BL4)/BL4</f>
        <v>1.2443037078251358</v>
      </c>
      <c r="BT4" s="14">
        <f>(Sales[[#This Row],[DP1]]*Lookups!$B$51)+(Sales[[#This Row],[DP2]]*Lookups!$B$52)+(Sales[[#This Row],[DP3]]*Lookups!$B$53)</f>
        <v>-8540.7479999999996</v>
      </c>
      <c r="BU4" s="14">
        <f>Lookups!$B$48*0.5</f>
        <v>87214.824999999997</v>
      </c>
      <c r="BV4" s="14">
        <f>Lookups!$B$48*0.5</f>
        <v>87214.824999999997</v>
      </c>
      <c r="BW4" s="14">
        <f>Lookups!$B$49*Sales[[#This Row],[LnAcres]]</f>
        <v>-97909.509328312808</v>
      </c>
      <c r="BX4" s="14">
        <f>VLOOKUP(Sales[[#This Row],[Qlty]],Lookups!$A$54:$E$67,2,FALSE)</f>
        <v>-14329.694740000001</v>
      </c>
      <c r="BY4" s="14">
        <f>VLOOKUP(Sales[[#This Row],[Cnd]],Lookups!$A$68:$E$76,2,FALSE)</f>
        <v>133581.64413</v>
      </c>
      <c r="BZ4" s="14">
        <f>Sales[[#This Row],[Age]]*Lookups!$B$77</f>
        <v>184.51242999999999</v>
      </c>
      <c r="CA4" s="14">
        <f>Sales[[#This Row],[MainFn]]*Lookups!$B$78</f>
        <v>139963.08793400001</v>
      </c>
      <c r="CB4" s="14">
        <f>Sales[[#This Row],[UpprFn]]*Lookups!$B$79</f>
        <v>0</v>
      </c>
      <c r="CC4" s="14">
        <f>Sales[[#This Row],[AddFn]]*Lookups!$B$80</f>
        <v>0</v>
      </c>
      <c r="CD4" s="14">
        <f>Sales[[#This Row],[Bsmt]]*Lookups!$B$81</f>
        <v>0</v>
      </c>
      <c r="CE4" s="14">
        <f>Sales[[#This Row],[Fixtures]]*Lookups!$B$84</f>
        <v>91395.900000000009</v>
      </c>
      <c r="CF4" s="14">
        <f>Sales[[#This Row],[MsnryFP]]*Lookups!$B$82</f>
        <v>0</v>
      </c>
      <c r="CG4" s="14">
        <f>Sales[[#This Row],[PrefabFP]]*Lookups!$B$83</f>
        <v>42091.021999999997</v>
      </c>
      <c r="CH4" s="14">
        <f>Sales[[#This Row],[GarageArea]]*Lookups!$B$85</f>
        <v>28379.958320000002</v>
      </c>
      <c r="CI4" s="14">
        <f>SUM(Sales[[#This Row],[Days Prior Total]:[Mdl GarageArea]])</f>
        <v>489245.82274568721</v>
      </c>
      <c r="CJ4" s="14">
        <f>ROUND(Sales[[#This Row],[25Det]],-2)</f>
        <v>0</v>
      </c>
      <c r="CK4" s="14">
        <f>ROUND(SUM(Sales[[#This Row],[Mdl Qlty]:[Mdl GarageArea]])+Sales[[#This Row],[Mdl Res Intercept]]+Sales[[#This Row],[Days Prior Total]],-2)</f>
        <v>499900</v>
      </c>
      <c r="CL4" s="14">
        <f>ROUND(Sales[[#This Row],[Mdl Land Intercept]]+Sales[[#This Row],[Mdl LnAcres]],-2)</f>
        <v>-10700</v>
      </c>
      <c r="CM4" s="14">
        <f>Sales[[#This Row],[Unadj Res Value]]+Sales[[#This Row],[Unadj Det Value]]+Sales[[#This Row],[Unadj Land Value]]</f>
        <v>489200</v>
      </c>
      <c r="CN4" s="15">
        <f>Sales[[#This Row],[Unadj Total Value]]/Sales[[#This Row],[Price]]</f>
        <v>1.0306975960221647</v>
      </c>
      <c r="CO4" s="15">
        <f>(Sales[[#This Row],[Unadj Total Value]]-Sales[[#This Row],[24Final]])/Sales[[#This Row],[24Final]]</f>
        <v>1.2055906221821462</v>
      </c>
      <c r="CP4">
        <f>VLOOKUP(Sales[[#This Row],[TNbhd]],Lookups!$M$2:$P$4,4,FALSE)</f>
        <v>0.97570000000000001</v>
      </c>
      <c r="CQ4">
        <f>VLOOKUP(Sales[[#This Row],[Qlty]],Lookups!$M$6:$P$20,4,FALSE)</f>
        <v>0.98809999999999998</v>
      </c>
      <c r="CR4">
        <f>VLOOKUP(Sales[[#This Row],[Cnd]],Lookups!$R$6:$U$15,4,FALSE)</f>
        <v>0.98370000000000002</v>
      </c>
      <c r="CS4">
        <f>VLOOKUP(Sales[[#This Row],[LivArea Range]],Lookups!$R$23:$U$39,4,FALSE)</f>
        <v>0.93440000000000001</v>
      </c>
      <c r="CT4">
        <f>VLOOKUP(Sales[[#This Row],[Decade]],Lookups!$M$23:$P$35,4,FALSE)</f>
        <v>0.99060000000000004</v>
      </c>
      <c r="CU4">
        <f>Sales[[#This Row],[Nbhd Adj]]*0.95</f>
        <v>0.92691499999999993</v>
      </c>
      <c r="CV4">
        <f>Sales[[#This Row],[Nbhd Adj]]*Sales[[#This Row],[Quality Adj]]*Sales[[#This Row],[Condition Adj]]*Sales[[#This Row],[Living Area Adj]]*Sales[[#This Row],[Decade Adj]]*0.95</f>
        <v>0.83393967177863759</v>
      </c>
      <c r="CW4">
        <f>ROUND(SUM(Sales[[#This Row],[Mdl Qlty]:[Mdl GarageArea]])+Sales[[#This Row],[Mdl Res Intercept]]*Sales[[#This Row],[Res Adj ]],-2)</f>
        <v>494000</v>
      </c>
      <c r="CX4">
        <f>ROUND(Sales[[#This Row],[25Det]]*Sales[[#This Row],[Det/Nbhd Adj]],-2)</f>
        <v>0</v>
      </c>
      <c r="CY4">
        <f>Sales[[#This Row],[Adjusted Res]]+Sales[[#This Row],[Adj Det ]]</f>
        <v>494000</v>
      </c>
      <c r="CZ4">
        <f>ROUND((Sales[[#This Row],[Mdl Land Intercept]]+Sales[[#This Row],[Mdl LnAcres]])*Sales[[#This Row],[Det/Nbhd Adj]],-2)</f>
        <v>-9900</v>
      </c>
      <c r="DA4">
        <f>Sales[[#This Row],[Adjusted Impr Total]]+Sales[[#This Row],[Adjusted Land Total]]</f>
        <v>484100</v>
      </c>
      <c r="DB4">
        <f>IFERROR((Sales[[#This Row],[Adjusted Impr Total]]-Sales[[#This Row],[24Bldg]])/Sales[[#This Row],[24Bldg]],0)</f>
        <v>2.1127914303717708</v>
      </c>
      <c r="DC4">
        <f>(Sales[[#This Row],[Adjusted Land Total]]-Sales[[#This Row],[24Lnd]])/Sales[[#This Row],[24Lnd]]</f>
        <v>-1.1568938193343898</v>
      </c>
      <c r="DD4">
        <f>(Sales[[#This Row],[Adjusted Total]]-Sales[[#This Row],[24Final]])/Sales[[#This Row],[24Final]]</f>
        <v>1.1825969341749323</v>
      </c>
      <c r="DE4">
        <f>(Sales[[#This Row],[Adjusted Total]]+Sales[[#This Row],[Days Prior Total]])/Sales[[#This Row],[Price]]</f>
        <v>1.0019578450582558</v>
      </c>
    </row>
    <row r="5" spans="1:109" x14ac:dyDescent="0.3">
      <c r="A5">
        <v>2025</v>
      </c>
      <c r="B5">
        <v>18131923436</v>
      </c>
      <c r="C5">
        <v>-3.912023005428146</v>
      </c>
      <c r="D5">
        <v>0.02</v>
      </c>
      <c r="E5">
        <v>7900</v>
      </c>
      <c r="F5">
        <v>1</v>
      </c>
      <c r="G5" t="s">
        <v>89</v>
      </c>
      <c r="H5">
        <v>3042</v>
      </c>
      <c r="I5" t="s">
        <v>302</v>
      </c>
      <c r="J5" t="s">
        <v>26</v>
      </c>
      <c r="K5">
        <v>11</v>
      </c>
      <c r="L5">
        <v>259</v>
      </c>
      <c r="M5" t="s">
        <v>131</v>
      </c>
      <c r="N5" t="s">
        <v>111</v>
      </c>
      <c r="O5" t="s">
        <v>76</v>
      </c>
      <c r="P5">
        <v>2023</v>
      </c>
      <c r="Q5">
        <v>2023</v>
      </c>
      <c r="R5">
        <v>10</v>
      </c>
      <c r="S5">
        <v>1</v>
      </c>
      <c r="T5">
        <v>1</v>
      </c>
      <c r="U5">
        <v>1</v>
      </c>
      <c r="V5">
        <v>2026</v>
      </c>
      <c r="W5">
        <v>0</v>
      </c>
      <c r="X5">
        <v>0</v>
      </c>
      <c r="Y5">
        <v>0</v>
      </c>
      <c r="Z5">
        <v>0</v>
      </c>
      <c r="AA5">
        <v>0</v>
      </c>
      <c r="AB5">
        <v>2026</v>
      </c>
      <c r="AC5">
        <v>2500</v>
      </c>
      <c r="AD5">
        <v>3</v>
      </c>
      <c r="AE5" t="s">
        <v>132</v>
      </c>
      <c r="AF5" t="s">
        <v>153</v>
      </c>
      <c r="AG5" t="s">
        <v>274</v>
      </c>
      <c r="AI5">
        <v>0</v>
      </c>
      <c r="AJ5">
        <v>0</v>
      </c>
      <c r="AK5">
        <v>1</v>
      </c>
      <c r="AL5">
        <v>0</v>
      </c>
      <c r="AM5">
        <v>0</v>
      </c>
      <c r="AN5">
        <v>11</v>
      </c>
      <c r="AO5">
        <v>790</v>
      </c>
      <c r="AP5">
        <v>0</v>
      </c>
      <c r="AQ5">
        <v>790</v>
      </c>
      <c r="AR5">
        <v>0</v>
      </c>
      <c r="AS5">
        <v>0</v>
      </c>
      <c r="AT5">
        <v>0</v>
      </c>
      <c r="AU5">
        <v>0</v>
      </c>
      <c r="AV5">
        <v>100</v>
      </c>
      <c r="AW5">
        <v>100</v>
      </c>
      <c r="AX5">
        <v>411751</v>
      </c>
      <c r="AY5">
        <v>411751</v>
      </c>
      <c r="AZ5">
        <v>160</v>
      </c>
      <c r="BA5">
        <v>160</v>
      </c>
      <c r="BB5">
        <v>0</v>
      </c>
      <c r="BC5">
        <v>0</v>
      </c>
      <c r="BD5" s="6">
        <v>45132</v>
      </c>
      <c r="BE5" t="s">
        <v>17</v>
      </c>
      <c r="BF5">
        <v>529900</v>
      </c>
      <c r="BG5">
        <v>529900</v>
      </c>
      <c r="BH5" t="s">
        <v>198</v>
      </c>
      <c r="BI5">
        <v>30</v>
      </c>
      <c r="BJ5" t="s">
        <v>51</v>
      </c>
      <c r="BK5" t="s">
        <v>314</v>
      </c>
      <c r="BL5">
        <v>488000</v>
      </c>
      <c r="BM5">
        <v>63100</v>
      </c>
      <c r="BN5">
        <v>424900</v>
      </c>
      <c r="BO5">
        <v>0</v>
      </c>
      <c r="BP5">
        <v>0.92092847707114545</v>
      </c>
      <c r="BQ5">
        <v>504446.90168718639</v>
      </c>
      <c r="BR5">
        <v>529752.81572275457</v>
      </c>
      <c r="BS5" s="7">
        <f>(BR5-BL5)/BL5</f>
        <v>8.5559048612201996E-2</v>
      </c>
      <c r="BT5" s="14">
        <f>(Sales[[#This Row],[DP1]]*Lookups!$B$51)+(Sales[[#This Row],[DP2]]*Lookups!$B$52)+(Sales[[#This Row],[DP3]]*Lookups!$B$53)</f>
        <v>-25305.920000000002</v>
      </c>
      <c r="BU5" s="14">
        <f>Lookups!$B$48*0.5</f>
        <v>87214.824999999997</v>
      </c>
      <c r="BV5" s="14">
        <f>Lookups!$B$48*0.5</f>
        <v>87214.824999999997</v>
      </c>
      <c r="BW5" s="14">
        <f>Lookups!$B$49*Sales[[#This Row],[LnAcres]]</f>
        <v>-97909.509328312808</v>
      </c>
      <c r="BX5" s="14">
        <f>VLOOKUP(Sales[[#This Row],[Qlty]],Lookups!$A$54:$E$67,2,FALSE)</f>
        <v>-14329.694740000001</v>
      </c>
      <c r="BY5" s="14">
        <f>VLOOKUP(Sales[[#This Row],[Cnd]],Lookups!$A$68:$E$76,2,FALSE)</f>
        <v>133581.64413</v>
      </c>
      <c r="BZ5" s="14">
        <f>Sales[[#This Row],[Age]]*Lookups!$B$77</f>
        <v>184.51242999999999</v>
      </c>
      <c r="CA5" s="14">
        <f>Sales[[#This Row],[MainFn]]*Lookups!$B$78</f>
        <v>139963.08793400001</v>
      </c>
      <c r="CB5" s="14">
        <f>Sales[[#This Row],[UpprFn]]*Lookups!$B$79</f>
        <v>0</v>
      </c>
      <c r="CC5" s="14">
        <f>Sales[[#This Row],[AddFn]]*Lookups!$B$80</f>
        <v>0</v>
      </c>
      <c r="CD5" s="14">
        <f>Sales[[#This Row],[Bsmt]]*Lookups!$B$81</f>
        <v>0</v>
      </c>
      <c r="CE5" s="14">
        <f>Sales[[#This Row],[Fixtures]]*Lookups!$B$84</f>
        <v>111706.1</v>
      </c>
      <c r="CF5" s="14">
        <f>Sales[[#This Row],[MsnryFP]]*Lookups!$B$82</f>
        <v>0</v>
      </c>
      <c r="CG5" s="14">
        <f>Sales[[#This Row],[PrefabFP]]*Lookups!$B$83</f>
        <v>42091.021999999997</v>
      </c>
      <c r="CH5" s="14">
        <f>Sales[[#This Row],[GarageArea]]*Lookups!$B$85</f>
        <v>40036.012629999997</v>
      </c>
      <c r="CI5" s="14">
        <f>SUM(Sales[[#This Row],[Days Prior Total]:[Mdl GarageArea]])</f>
        <v>504446.90505568718</v>
      </c>
      <c r="CJ5" s="14">
        <f>ROUND(Sales[[#This Row],[25Det]],-2)</f>
        <v>0</v>
      </c>
      <c r="CK5" s="14">
        <f>ROUND(SUM(Sales[[#This Row],[Mdl Qlty]:[Mdl GarageArea]])+Sales[[#This Row],[Mdl Res Intercept]]+Sales[[#This Row],[Days Prior Total]],-2)</f>
        <v>515100</v>
      </c>
      <c r="CL5" s="14">
        <f>ROUND(Sales[[#This Row],[Mdl Land Intercept]]+Sales[[#This Row],[Mdl LnAcres]],-2)</f>
        <v>-10700</v>
      </c>
      <c r="CM5" s="14">
        <f>Sales[[#This Row],[Unadj Res Value]]+Sales[[#This Row],[Unadj Det Value]]+Sales[[#This Row],[Unadj Land Value]]</f>
        <v>504400</v>
      </c>
      <c r="CN5" s="15">
        <f>Sales[[#This Row],[Unadj Total Value]]/Sales[[#This Row],[Price]]</f>
        <v>0.95187771277599542</v>
      </c>
      <c r="CO5" s="15">
        <f>(Sales[[#This Row],[Unadj Total Value]]-Sales[[#This Row],[24Final]])/Sales[[#This Row],[24Final]]</f>
        <v>3.3606557377049179E-2</v>
      </c>
      <c r="CP5">
        <f>VLOOKUP(Sales[[#This Row],[TNbhd]],Lookups!$M$2:$P$4,4,FALSE)</f>
        <v>0.97570000000000001</v>
      </c>
      <c r="CQ5">
        <f>VLOOKUP(Sales[[#This Row],[Qlty]],Lookups!$M$6:$P$20,4,FALSE)</f>
        <v>0.98809999999999998</v>
      </c>
      <c r="CR5">
        <f>VLOOKUP(Sales[[#This Row],[Cnd]],Lookups!$R$6:$U$15,4,FALSE)</f>
        <v>0.98370000000000002</v>
      </c>
      <c r="CS5">
        <f>VLOOKUP(Sales[[#This Row],[LivArea Range]],Lookups!$R$23:$U$39,4,FALSE)</f>
        <v>0.93440000000000001</v>
      </c>
      <c r="CT5">
        <f>VLOOKUP(Sales[[#This Row],[Decade]],Lookups!$M$23:$P$35,4,FALSE)</f>
        <v>0.99060000000000004</v>
      </c>
      <c r="CU5">
        <f>Sales[[#This Row],[Nbhd Adj]]*0.95</f>
        <v>0.92691499999999993</v>
      </c>
      <c r="CV5">
        <f>Sales[[#This Row],[Nbhd Adj]]*Sales[[#This Row],[Quality Adj]]*Sales[[#This Row],[Condition Adj]]*Sales[[#This Row],[Living Area Adj]]*Sales[[#This Row],[Decade Adj]]*0.95</f>
        <v>0.83393967177863759</v>
      </c>
      <c r="CW5">
        <f>ROUND(SUM(Sales[[#This Row],[Mdl Qlty]:[Mdl GarageArea]])+Sales[[#This Row],[Mdl Res Intercept]]*Sales[[#This Row],[Res Adj ]],-2)</f>
        <v>526000</v>
      </c>
      <c r="CX5">
        <f>ROUND(Sales[[#This Row],[25Det]]*Sales[[#This Row],[Det/Nbhd Adj]],-2)</f>
        <v>0</v>
      </c>
      <c r="CY5">
        <f>Sales[[#This Row],[Adjusted Res]]+Sales[[#This Row],[Adj Det ]]</f>
        <v>526000</v>
      </c>
      <c r="CZ5">
        <f>ROUND((Sales[[#This Row],[Mdl Land Intercept]]+Sales[[#This Row],[Mdl LnAcres]])*Sales[[#This Row],[Det/Nbhd Adj]],-2)</f>
        <v>-9900</v>
      </c>
      <c r="DA5">
        <f>Sales[[#This Row],[Adjusted Impr Total]]+Sales[[#This Row],[Adjusted Land Total]]</f>
        <v>516100</v>
      </c>
      <c r="DB5">
        <f>IFERROR((Sales[[#This Row],[Adjusted Impr Total]]-Sales[[#This Row],[24Bldg]])/Sales[[#This Row],[24Bldg]],0)</f>
        <v>0.23793833843257237</v>
      </c>
      <c r="DC5">
        <f>(Sales[[#This Row],[Adjusted Land Total]]-Sales[[#This Row],[24Lnd]])/Sales[[#This Row],[24Lnd]]</f>
        <v>-1.1568938193343898</v>
      </c>
      <c r="DD5">
        <f>(Sales[[#This Row],[Adjusted Total]]-Sales[[#This Row],[24Final]])/Sales[[#This Row],[24Final]]</f>
        <v>5.7581967213114753E-2</v>
      </c>
      <c r="DE5">
        <f>(Sales[[#This Row],[Adjusted Total]]+Sales[[#This Row],[Days Prior Total]])/Sales[[#This Row],[Price]]</f>
        <v>0.92620132100396302</v>
      </c>
    </row>
    <row r="6" spans="1:109" x14ac:dyDescent="0.3">
      <c r="A6">
        <v>2025</v>
      </c>
      <c r="B6">
        <v>18131923434</v>
      </c>
      <c r="C6">
        <v>-3.912023005428146</v>
      </c>
      <c r="D6">
        <v>0.02</v>
      </c>
      <c r="E6">
        <v>7900</v>
      </c>
      <c r="F6">
        <v>1</v>
      </c>
      <c r="G6" t="s">
        <v>89</v>
      </c>
      <c r="H6" t="s">
        <v>302</v>
      </c>
      <c r="I6" t="s">
        <v>302</v>
      </c>
      <c r="J6" t="s">
        <v>26</v>
      </c>
      <c r="K6">
        <v>11</v>
      </c>
      <c r="L6">
        <v>259</v>
      </c>
      <c r="M6" t="s">
        <v>131</v>
      </c>
      <c r="N6" t="s">
        <v>111</v>
      </c>
      <c r="O6" t="s">
        <v>76</v>
      </c>
      <c r="P6">
        <v>2023</v>
      </c>
      <c r="Q6">
        <v>2023</v>
      </c>
      <c r="R6">
        <v>10</v>
      </c>
      <c r="S6">
        <v>1</v>
      </c>
      <c r="T6">
        <v>1</v>
      </c>
      <c r="U6">
        <v>1</v>
      </c>
      <c r="V6">
        <v>2056</v>
      </c>
      <c r="W6">
        <v>0</v>
      </c>
      <c r="X6">
        <v>0</v>
      </c>
      <c r="Y6">
        <v>0</v>
      </c>
      <c r="Z6">
        <v>0</v>
      </c>
      <c r="AA6">
        <v>0</v>
      </c>
      <c r="AB6">
        <v>2056</v>
      </c>
      <c r="AC6">
        <v>2500</v>
      </c>
      <c r="AD6">
        <v>3</v>
      </c>
      <c r="AF6" t="s">
        <v>153</v>
      </c>
      <c r="AG6" t="s">
        <v>274</v>
      </c>
      <c r="AI6">
        <v>0</v>
      </c>
      <c r="AJ6">
        <v>0</v>
      </c>
      <c r="AK6">
        <v>1</v>
      </c>
      <c r="AL6">
        <v>0</v>
      </c>
      <c r="AM6">
        <v>0</v>
      </c>
      <c r="AN6">
        <v>9</v>
      </c>
      <c r="AO6">
        <v>640</v>
      </c>
      <c r="AP6">
        <v>0</v>
      </c>
      <c r="AQ6">
        <v>640</v>
      </c>
      <c r="AR6">
        <v>0</v>
      </c>
      <c r="AS6">
        <v>0</v>
      </c>
      <c r="AT6">
        <v>0</v>
      </c>
      <c r="AU6">
        <v>0</v>
      </c>
      <c r="AV6">
        <v>100</v>
      </c>
      <c r="AW6">
        <v>100</v>
      </c>
      <c r="AX6">
        <v>399432</v>
      </c>
      <c r="AY6">
        <v>399432</v>
      </c>
      <c r="AZ6">
        <v>76</v>
      </c>
      <c r="BA6">
        <v>76</v>
      </c>
      <c r="BB6">
        <v>0</v>
      </c>
      <c r="BC6">
        <v>0</v>
      </c>
      <c r="BD6" s="6">
        <v>45216</v>
      </c>
      <c r="BE6" t="s">
        <v>84</v>
      </c>
      <c r="BF6">
        <v>468040</v>
      </c>
      <c r="BG6">
        <v>468040</v>
      </c>
      <c r="BH6" t="s">
        <v>198</v>
      </c>
      <c r="BI6">
        <v>30</v>
      </c>
      <c r="BJ6" t="s">
        <v>51</v>
      </c>
      <c r="BK6" t="s">
        <v>314</v>
      </c>
      <c r="BL6">
        <v>165800</v>
      </c>
      <c r="BM6">
        <v>63100</v>
      </c>
      <c r="BN6">
        <v>102700</v>
      </c>
      <c r="BO6">
        <v>0</v>
      </c>
      <c r="BP6">
        <v>0.35424322707460904</v>
      </c>
      <c r="BQ6">
        <v>491893.0367400868</v>
      </c>
      <c r="BR6">
        <v>503913.34590698167</v>
      </c>
      <c r="BS6" s="7">
        <f>(BR6-BL6)/BL6</f>
        <v>2.0392843540831223</v>
      </c>
      <c r="BT6" s="14">
        <f>(Sales[[#This Row],[DP1]]*Lookups!$B$51)+(Sales[[#This Row],[DP2]]*Lookups!$B$52)+(Sales[[#This Row],[DP3]]*Lookups!$B$53)</f>
        <v>-12020.312</v>
      </c>
      <c r="BU6" s="14">
        <f>Lookups!$B$48*0.5</f>
        <v>87214.824999999997</v>
      </c>
      <c r="BV6" s="14">
        <f>Lookups!$B$48*0.5</f>
        <v>87214.824999999997</v>
      </c>
      <c r="BW6" s="14">
        <f>Lookups!$B$49*Sales[[#This Row],[LnAcres]]</f>
        <v>-97909.509328312808</v>
      </c>
      <c r="BX6" s="14">
        <f>VLOOKUP(Sales[[#This Row],[Qlty]],Lookups!$A$54:$E$67,2,FALSE)</f>
        <v>-14329.694740000001</v>
      </c>
      <c r="BY6" s="14">
        <f>VLOOKUP(Sales[[#This Row],[Cnd]],Lookups!$A$68:$E$76,2,FALSE)</f>
        <v>133581.64413</v>
      </c>
      <c r="BZ6" s="14">
        <f>Sales[[#This Row],[Age]]*Lookups!$B$77</f>
        <v>184.51242999999999</v>
      </c>
      <c r="CA6" s="14">
        <f>Sales[[#This Row],[MainFn]]*Lookups!$B$78</f>
        <v>142035.59170400002</v>
      </c>
      <c r="CB6" s="14">
        <f>Sales[[#This Row],[UpprFn]]*Lookups!$B$79</f>
        <v>0</v>
      </c>
      <c r="CC6" s="14">
        <f>Sales[[#This Row],[AddFn]]*Lookups!$B$80</f>
        <v>0</v>
      </c>
      <c r="CD6" s="14">
        <f>Sales[[#This Row],[Bsmt]]*Lookups!$B$81</f>
        <v>0</v>
      </c>
      <c r="CE6" s="14">
        <f>Sales[[#This Row],[Fixtures]]*Lookups!$B$84</f>
        <v>91395.900000000009</v>
      </c>
      <c r="CF6" s="14">
        <f>Sales[[#This Row],[MsnryFP]]*Lookups!$B$82</f>
        <v>0</v>
      </c>
      <c r="CG6" s="14">
        <f>Sales[[#This Row],[PrefabFP]]*Lookups!$B$83</f>
        <v>42091.021999999997</v>
      </c>
      <c r="CH6" s="14">
        <f>Sales[[#This Row],[GarageArea]]*Lookups!$B$85</f>
        <v>32434.238079999999</v>
      </c>
      <c r="CI6" s="14">
        <f>SUM(Sales[[#This Row],[Days Prior Total]:[Mdl GarageArea]])</f>
        <v>491893.04227568721</v>
      </c>
      <c r="CJ6" s="14">
        <f>ROUND(Sales[[#This Row],[25Det]],-2)</f>
        <v>0</v>
      </c>
      <c r="CK6" s="14">
        <f>ROUND(SUM(Sales[[#This Row],[Mdl Qlty]:[Mdl GarageArea]])+Sales[[#This Row],[Mdl Res Intercept]]+Sales[[#This Row],[Days Prior Total]],-2)</f>
        <v>502600</v>
      </c>
      <c r="CL6" s="14">
        <f>ROUND(Sales[[#This Row],[Mdl Land Intercept]]+Sales[[#This Row],[Mdl LnAcres]],-2)</f>
        <v>-10700</v>
      </c>
      <c r="CM6" s="14">
        <f>Sales[[#This Row],[Unadj Res Value]]+Sales[[#This Row],[Unadj Det Value]]+Sales[[#This Row],[Unadj Land Value]]</f>
        <v>491900</v>
      </c>
      <c r="CN6" s="15">
        <f>Sales[[#This Row],[Unadj Total Value]]/Sales[[#This Row],[Price]]</f>
        <v>1.0509785488419794</v>
      </c>
      <c r="CO6" s="15">
        <f>(Sales[[#This Row],[Unadj Total Value]]-Sales[[#This Row],[24Final]])/Sales[[#This Row],[24Final]]</f>
        <v>1.9668275030156814</v>
      </c>
      <c r="CP6">
        <f>VLOOKUP(Sales[[#This Row],[TNbhd]],Lookups!$M$2:$P$4,4,FALSE)</f>
        <v>0.97570000000000001</v>
      </c>
      <c r="CQ6">
        <f>VLOOKUP(Sales[[#This Row],[Qlty]],Lookups!$M$6:$P$20,4,FALSE)</f>
        <v>0.98809999999999998</v>
      </c>
      <c r="CR6">
        <f>VLOOKUP(Sales[[#This Row],[Cnd]],Lookups!$R$6:$U$15,4,FALSE)</f>
        <v>0.98370000000000002</v>
      </c>
      <c r="CS6">
        <f>VLOOKUP(Sales[[#This Row],[LivArea Range]],Lookups!$R$23:$U$39,4,FALSE)</f>
        <v>0.93440000000000001</v>
      </c>
      <c r="CT6">
        <f>VLOOKUP(Sales[[#This Row],[Decade]],Lookups!$M$23:$P$35,4,FALSE)</f>
        <v>0.99060000000000004</v>
      </c>
      <c r="CU6">
        <f>Sales[[#This Row],[Nbhd Adj]]*0.95</f>
        <v>0.92691499999999993</v>
      </c>
      <c r="CV6">
        <f>Sales[[#This Row],[Nbhd Adj]]*Sales[[#This Row],[Quality Adj]]*Sales[[#This Row],[Condition Adj]]*Sales[[#This Row],[Living Area Adj]]*Sales[[#This Row],[Decade Adj]]*0.95</f>
        <v>0.83393967177863759</v>
      </c>
      <c r="CW6">
        <f>ROUND(SUM(Sales[[#This Row],[Mdl Qlty]:[Mdl GarageArea]])+Sales[[#This Row],[Mdl Res Intercept]]*Sales[[#This Row],[Res Adj ]],-2)</f>
        <v>500100</v>
      </c>
      <c r="CX6">
        <f>ROUND(Sales[[#This Row],[25Det]]*Sales[[#This Row],[Det/Nbhd Adj]],-2)</f>
        <v>0</v>
      </c>
      <c r="CY6">
        <f>Sales[[#This Row],[Adjusted Res]]+Sales[[#This Row],[Adj Det ]]</f>
        <v>500100</v>
      </c>
      <c r="CZ6">
        <f>ROUND((Sales[[#This Row],[Mdl Land Intercept]]+Sales[[#This Row],[Mdl LnAcres]])*Sales[[#This Row],[Det/Nbhd Adj]],-2)</f>
        <v>-9900</v>
      </c>
      <c r="DA6">
        <f>Sales[[#This Row],[Adjusted Impr Total]]+Sales[[#This Row],[Adjusted Land Total]]</f>
        <v>490200</v>
      </c>
      <c r="DB6">
        <f>IFERROR((Sales[[#This Row],[Adjusted Impr Total]]-Sales[[#This Row],[24Bldg]])/Sales[[#This Row],[24Bldg]],0)</f>
        <v>3.8695228821811098</v>
      </c>
      <c r="DC6">
        <f>(Sales[[#This Row],[Adjusted Land Total]]-Sales[[#This Row],[24Lnd]])/Sales[[#This Row],[24Lnd]]</f>
        <v>-1.1568938193343898</v>
      </c>
      <c r="DD6">
        <f>(Sales[[#This Row],[Adjusted Total]]-Sales[[#This Row],[24Final]])/Sales[[#This Row],[24Final]]</f>
        <v>1.9565741857659831</v>
      </c>
      <c r="DE6">
        <f>(Sales[[#This Row],[Adjusted Total]]+Sales[[#This Row],[Days Prior Total]])/Sales[[#This Row],[Price]]</f>
        <v>1.0216641483633877</v>
      </c>
    </row>
    <row r="7" spans="1:109" x14ac:dyDescent="0.3">
      <c r="A7">
        <v>2025</v>
      </c>
      <c r="B7">
        <v>18131923432</v>
      </c>
      <c r="C7">
        <v>-3.912023005428146</v>
      </c>
      <c r="D7">
        <v>0.02</v>
      </c>
      <c r="E7">
        <v>7900</v>
      </c>
      <c r="F7">
        <v>1</v>
      </c>
      <c r="G7" t="s">
        <v>89</v>
      </c>
      <c r="H7" t="s">
        <v>302</v>
      </c>
      <c r="I7" t="s">
        <v>302</v>
      </c>
      <c r="J7" t="s">
        <v>26</v>
      </c>
      <c r="K7">
        <v>11</v>
      </c>
      <c r="L7">
        <v>259</v>
      </c>
      <c r="M7" t="s">
        <v>204</v>
      </c>
      <c r="N7" t="s">
        <v>111</v>
      </c>
      <c r="O7" t="s">
        <v>76</v>
      </c>
      <c r="P7">
        <v>2023</v>
      </c>
      <c r="Q7">
        <v>2023</v>
      </c>
      <c r="R7">
        <v>10</v>
      </c>
      <c r="S7">
        <v>1</v>
      </c>
      <c r="T7">
        <v>1</v>
      </c>
      <c r="U7">
        <v>1</v>
      </c>
      <c r="V7">
        <v>2256</v>
      </c>
      <c r="W7">
        <v>0</v>
      </c>
      <c r="X7">
        <v>0</v>
      </c>
      <c r="Y7">
        <v>0</v>
      </c>
      <c r="Z7">
        <v>0</v>
      </c>
      <c r="AA7">
        <v>0</v>
      </c>
      <c r="AB7">
        <v>2256</v>
      </c>
      <c r="AC7">
        <v>2500</v>
      </c>
      <c r="AD7">
        <v>3</v>
      </c>
      <c r="AE7" t="s">
        <v>132</v>
      </c>
      <c r="AF7" t="s">
        <v>153</v>
      </c>
      <c r="AG7" t="s">
        <v>111</v>
      </c>
      <c r="AI7">
        <v>0</v>
      </c>
      <c r="AJ7">
        <v>0</v>
      </c>
      <c r="AK7">
        <v>1</v>
      </c>
      <c r="AL7">
        <v>0</v>
      </c>
      <c r="AM7">
        <v>1</v>
      </c>
      <c r="AN7">
        <v>13</v>
      </c>
      <c r="AO7">
        <v>636</v>
      </c>
      <c r="AP7">
        <v>0</v>
      </c>
      <c r="AQ7">
        <v>636</v>
      </c>
      <c r="AR7">
        <v>0</v>
      </c>
      <c r="AS7">
        <v>0</v>
      </c>
      <c r="AT7">
        <v>200</v>
      </c>
      <c r="AU7">
        <v>0</v>
      </c>
      <c r="AV7">
        <v>20</v>
      </c>
      <c r="AW7">
        <v>100</v>
      </c>
      <c r="AX7">
        <v>379233</v>
      </c>
      <c r="AY7">
        <v>379233</v>
      </c>
      <c r="AZ7">
        <v>97</v>
      </c>
      <c r="BA7">
        <v>97</v>
      </c>
      <c r="BB7">
        <v>0</v>
      </c>
      <c r="BC7">
        <v>0</v>
      </c>
      <c r="BD7" s="6">
        <v>45195</v>
      </c>
      <c r="BE7" t="s">
        <v>249</v>
      </c>
      <c r="BF7">
        <v>534080</v>
      </c>
      <c r="BG7">
        <v>534080</v>
      </c>
      <c r="BH7" t="s">
        <v>198</v>
      </c>
      <c r="BI7">
        <v>30</v>
      </c>
      <c r="BJ7" t="s">
        <v>51</v>
      </c>
      <c r="BK7" t="s">
        <v>314</v>
      </c>
      <c r="BL7">
        <v>146100</v>
      </c>
      <c r="BM7">
        <v>63100</v>
      </c>
      <c r="BN7">
        <v>83000</v>
      </c>
      <c r="BO7">
        <v>0</v>
      </c>
      <c r="BP7">
        <v>0.27355452366686639</v>
      </c>
      <c r="BQ7">
        <v>542806.01142441423</v>
      </c>
      <c r="BR7">
        <v>558147.72180847742</v>
      </c>
      <c r="BS7" s="7">
        <f>(BR7-BL7)/BL7</f>
        <v>2.8203129487233225</v>
      </c>
      <c r="BT7" s="14">
        <f>(Sales[[#This Row],[DP1]]*Lookups!$B$51)+(Sales[[#This Row],[DP2]]*Lookups!$B$52)+(Sales[[#This Row],[DP3]]*Lookups!$B$53)</f>
        <v>-15341.714</v>
      </c>
      <c r="BU7" s="14">
        <f>Lookups!$B$48*0.5</f>
        <v>87214.824999999997</v>
      </c>
      <c r="BV7" s="14">
        <f>Lookups!$B$48*0.5</f>
        <v>87214.824999999997</v>
      </c>
      <c r="BW7" s="14">
        <f>Lookups!$B$49*Sales[[#This Row],[LnAcres]]</f>
        <v>-97909.509328312808</v>
      </c>
      <c r="BX7" s="14">
        <f>VLOOKUP(Sales[[#This Row],[Qlty]],Lookups!$A$54:$E$67,2,FALSE)</f>
        <v>-14329.694740000001</v>
      </c>
      <c r="BY7" s="14">
        <f>VLOOKUP(Sales[[#This Row],[Cnd]],Lookups!$A$68:$E$76,2,FALSE)</f>
        <v>133581.64413</v>
      </c>
      <c r="BZ7" s="14">
        <f>Sales[[#This Row],[Age]]*Lookups!$B$77</f>
        <v>184.51242999999999</v>
      </c>
      <c r="CA7" s="14">
        <f>Sales[[#This Row],[MainFn]]*Lookups!$B$78</f>
        <v>155852.28350400002</v>
      </c>
      <c r="CB7" s="14">
        <f>Sales[[#This Row],[UpprFn]]*Lookups!$B$79</f>
        <v>0</v>
      </c>
      <c r="CC7" s="14">
        <f>Sales[[#This Row],[AddFn]]*Lookups!$B$80</f>
        <v>0</v>
      </c>
      <c r="CD7" s="14">
        <f>Sales[[#This Row],[Bsmt]]*Lookups!$B$81</f>
        <v>0</v>
      </c>
      <c r="CE7" s="14">
        <f>Sales[[#This Row],[Fixtures]]*Lookups!$B$84</f>
        <v>132016.30000000002</v>
      </c>
      <c r="CF7" s="14">
        <f>Sales[[#This Row],[MsnryFP]]*Lookups!$B$82</f>
        <v>0</v>
      </c>
      <c r="CG7" s="14">
        <f>Sales[[#This Row],[PrefabFP]]*Lookups!$B$83</f>
        <v>42091.021999999997</v>
      </c>
      <c r="CH7" s="14">
        <f>Sales[[#This Row],[GarageArea]]*Lookups!$B$85</f>
        <v>32231.524092</v>
      </c>
      <c r="CI7" s="14">
        <f>SUM(Sales[[#This Row],[Days Prior Total]:[Mdl GarageArea]])</f>
        <v>542806.0180876872</v>
      </c>
      <c r="CJ7" s="14">
        <f>ROUND(Sales[[#This Row],[25Det]],-2)</f>
        <v>0</v>
      </c>
      <c r="CK7" s="14">
        <f>ROUND(SUM(Sales[[#This Row],[Mdl Qlty]:[Mdl GarageArea]])+Sales[[#This Row],[Mdl Res Intercept]]+Sales[[#This Row],[Days Prior Total]],-2)</f>
        <v>553500</v>
      </c>
      <c r="CL7" s="14">
        <f>ROUND(Sales[[#This Row],[Mdl Land Intercept]]+Sales[[#This Row],[Mdl LnAcres]],-2)</f>
        <v>-10700</v>
      </c>
      <c r="CM7" s="14">
        <f>Sales[[#This Row],[Unadj Res Value]]+Sales[[#This Row],[Unadj Det Value]]+Sales[[#This Row],[Unadj Land Value]]</f>
        <v>542800</v>
      </c>
      <c r="CN7" s="15">
        <f>Sales[[#This Row],[Unadj Total Value]]/Sales[[#This Row],[Price]]</f>
        <v>1.0163271420011983</v>
      </c>
      <c r="CO7" s="15">
        <f>(Sales[[#This Row],[Unadj Total Value]]-Sales[[#This Row],[24Final]])/Sales[[#This Row],[24Final]]</f>
        <v>2.7152635181382614</v>
      </c>
      <c r="CP7">
        <f>VLOOKUP(Sales[[#This Row],[TNbhd]],Lookups!$M$2:$P$4,4,FALSE)</f>
        <v>0.97570000000000001</v>
      </c>
      <c r="CQ7">
        <f>VLOOKUP(Sales[[#This Row],[Qlty]],Lookups!$M$6:$P$20,4,FALSE)</f>
        <v>0.98809999999999998</v>
      </c>
      <c r="CR7">
        <f>VLOOKUP(Sales[[#This Row],[Cnd]],Lookups!$R$6:$U$15,4,FALSE)</f>
        <v>0.98370000000000002</v>
      </c>
      <c r="CS7">
        <f>VLOOKUP(Sales[[#This Row],[LivArea Range]],Lookups!$R$23:$U$39,4,FALSE)</f>
        <v>0.93440000000000001</v>
      </c>
      <c r="CT7">
        <f>VLOOKUP(Sales[[#This Row],[Decade]],Lookups!$M$23:$P$35,4,FALSE)</f>
        <v>0.99060000000000004</v>
      </c>
      <c r="CU7">
        <f>Sales[[#This Row],[Nbhd Adj]]*0.95</f>
        <v>0.92691499999999993</v>
      </c>
      <c r="CV7">
        <f>Sales[[#This Row],[Nbhd Adj]]*Sales[[#This Row],[Quality Adj]]*Sales[[#This Row],[Condition Adj]]*Sales[[#This Row],[Living Area Adj]]*Sales[[#This Row],[Decade Adj]]*0.95</f>
        <v>0.83393967177863759</v>
      </c>
      <c r="CW7">
        <f>ROUND(SUM(Sales[[#This Row],[Mdl Qlty]:[Mdl GarageArea]])+Sales[[#This Row],[Mdl Res Intercept]]*Sales[[#This Row],[Res Adj ]],-2)</f>
        <v>554400</v>
      </c>
      <c r="CX7">
        <f>ROUND(Sales[[#This Row],[25Det]]*Sales[[#This Row],[Det/Nbhd Adj]],-2)</f>
        <v>0</v>
      </c>
      <c r="CY7">
        <f>Sales[[#This Row],[Adjusted Res]]+Sales[[#This Row],[Adj Det ]]</f>
        <v>554400</v>
      </c>
      <c r="CZ7">
        <f>ROUND((Sales[[#This Row],[Mdl Land Intercept]]+Sales[[#This Row],[Mdl LnAcres]])*Sales[[#This Row],[Det/Nbhd Adj]],-2)</f>
        <v>-9900</v>
      </c>
      <c r="DA7">
        <f>Sales[[#This Row],[Adjusted Impr Total]]+Sales[[#This Row],[Adjusted Land Total]]</f>
        <v>544500</v>
      </c>
      <c r="DB7">
        <f>IFERROR((Sales[[#This Row],[Adjusted Impr Total]]-Sales[[#This Row],[24Bldg]])/Sales[[#This Row],[24Bldg]],0)</f>
        <v>5.6795180722891567</v>
      </c>
      <c r="DC7">
        <f>(Sales[[#This Row],[Adjusted Land Total]]-Sales[[#This Row],[24Lnd]])/Sales[[#This Row],[24Lnd]]</f>
        <v>-1.1568938193343898</v>
      </c>
      <c r="DD7">
        <f>(Sales[[#This Row],[Adjusted Total]]-Sales[[#This Row],[24Final]])/Sales[[#This Row],[24Final]]</f>
        <v>2.7268993839835729</v>
      </c>
      <c r="DE7">
        <f>(Sales[[#This Row],[Adjusted Total]]+Sales[[#This Row],[Days Prior Total]])/Sales[[#This Row],[Price]]</f>
        <v>0.99078468768723782</v>
      </c>
    </row>
    <row r="8" spans="1:109" x14ac:dyDescent="0.3">
      <c r="A8">
        <v>2025</v>
      </c>
      <c r="B8">
        <v>18131923420</v>
      </c>
      <c r="C8">
        <v>-3.912023005428146</v>
      </c>
      <c r="D8">
        <v>0.02</v>
      </c>
      <c r="E8">
        <v>8339</v>
      </c>
      <c r="F8">
        <v>1</v>
      </c>
      <c r="G8" t="s">
        <v>89</v>
      </c>
      <c r="H8" t="s">
        <v>302</v>
      </c>
      <c r="I8" t="s">
        <v>302</v>
      </c>
      <c r="J8" t="s">
        <v>26</v>
      </c>
      <c r="K8">
        <v>11</v>
      </c>
      <c r="L8">
        <v>259</v>
      </c>
      <c r="M8" t="s">
        <v>131</v>
      </c>
      <c r="N8" t="s">
        <v>111</v>
      </c>
      <c r="O8" t="s">
        <v>76</v>
      </c>
      <c r="P8">
        <v>2023</v>
      </c>
      <c r="Q8">
        <v>2023</v>
      </c>
      <c r="R8">
        <v>10</v>
      </c>
      <c r="S8">
        <v>1</v>
      </c>
      <c r="T8">
        <v>1</v>
      </c>
      <c r="U8">
        <v>1</v>
      </c>
      <c r="V8">
        <v>1976</v>
      </c>
      <c r="W8">
        <v>0</v>
      </c>
      <c r="X8">
        <v>720</v>
      </c>
      <c r="Y8">
        <v>0</v>
      </c>
      <c r="Z8">
        <v>0</v>
      </c>
      <c r="AA8">
        <v>0</v>
      </c>
      <c r="AB8">
        <v>2696</v>
      </c>
      <c r="AC8">
        <v>3000</v>
      </c>
      <c r="AD8">
        <v>3</v>
      </c>
      <c r="AE8" t="s">
        <v>132</v>
      </c>
      <c r="AF8" t="s">
        <v>153</v>
      </c>
      <c r="AG8" t="s">
        <v>274</v>
      </c>
      <c r="AI8">
        <v>0</v>
      </c>
      <c r="AJ8">
        <v>0</v>
      </c>
      <c r="AK8">
        <v>1</v>
      </c>
      <c r="AL8">
        <v>0</v>
      </c>
      <c r="AM8">
        <v>1</v>
      </c>
      <c r="AN8">
        <v>14</v>
      </c>
      <c r="AO8">
        <v>0</v>
      </c>
      <c r="AP8">
        <v>720</v>
      </c>
      <c r="AQ8">
        <v>720</v>
      </c>
      <c r="AR8">
        <v>0</v>
      </c>
      <c r="AS8">
        <v>0</v>
      </c>
      <c r="AT8">
        <v>0</v>
      </c>
      <c r="AU8">
        <v>0</v>
      </c>
      <c r="AV8">
        <v>100</v>
      </c>
      <c r="AW8">
        <v>100</v>
      </c>
      <c r="AX8">
        <v>497222</v>
      </c>
      <c r="AY8">
        <v>497222</v>
      </c>
      <c r="AZ8">
        <v>67</v>
      </c>
      <c r="BA8">
        <v>67</v>
      </c>
      <c r="BB8">
        <v>0</v>
      </c>
      <c r="BC8">
        <v>0</v>
      </c>
      <c r="BD8" s="6">
        <v>45225</v>
      </c>
      <c r="BE8" t="s">
        <v>105</v>
      </c>
      <c r="BF8">
        <v>589000</v>
      </c>
      <c r="BG8">
        <v>589000</v>
      </c>
      <c r="BH8" t="s">
        <v>198</v>
      </c>
      <c r="BI8">
        <v>30</v>
      </c>
      <c r="BJ8" t="s">
        <v>51</v>
      </c>
      <c r="BK8" t="s">
        <v>314</v>
      </c>
      <c r="BL8">
        <v>583900</v>
      </c>
      <c r="BM8">
        <v>66200</v>
      </c>
      <c r="BN8">
        <v>517700</v>
      </c>
      <c r="BO8">
        <v>0</v>
      </c>
      <c r="BP8">
        <v>0.99134125636672321</v>
      </c>
      <c r="BQ8">
        <v>576447.06635090883</v>
      </c>
      <c r="BR8">
        <v>587043.91785330302</v>
      </c>
      <c r="BS8" s="7">
        <f>(BR8-BL8)/BL8</f>
        <v>5.384342958217196E-3</v>
      </c>
      <c r="BT8" s="14">
        <f>(Sales[[#This Row],[DP1]]*Lookups!$B$51)+(Sales[[#This Row],[DP2]]*Lookups!$B$52)+(Sales[[#This Row],[DP3]]*Lookups!$B$53)</f>
        <v>-10596.854000000001</v>
      </c>
      <c r="BU8" s="14">
        <f>Lookups!$B$48*0.5</f>
        <v>87214.824999999997</v>
      </c>
      <c r="BV8" s="14">
        <f>Lookups!$B$48*0.5</f>
        <v>87214.824999999997</v>
      </c>
      <c r="BW8" s="14">
        <f>Lookups!$B$49*Sales[[#This Row],[LnAcres]]</f>
        <v>-97909.509328312808</v>
      </c>
      <c r="BX8" s="14">
        <f>VLOOKUP(Sales[[#This Row],[Qlty]],Lookups!$A$54:$E$67,2,FALSE)</f>
        <v>-14329.694740000001</v>
      </c>
      <c r="BY8" s="14">
        <f>VLOOKUP(Sales[[#This Row],[Cnd]],Lookups!$A$68:$E$76,2,FALSE)</f>
        <v>133581.64413</v>
      </c>
      <c r="BZ8" s="14">
        <f>Sales[[#This Row],[Age]]*Lookups!$B$77</f>
        <v>184.51242999999999</v>
      </c>
      <c r="CA8" s="14">
        <f>Sales[[#This Row],[MainFn]]*Lookups!$B$78</f>
        <v>136508.914984</v>
      </c>
      <c r="CB8" s="14">
        <f>Sales[[#This Row],[UpprFn]]*Lookups!$B$79</f>
        <v>0</v>
      </c>
      <c r="CC8" s="14">
        <f>Sales[[#This Row],[AddFn]]*Lookups!$B$80</f>
        <v>33827.471279999998</v>
      </c>
      <c r="CD8" s="14">
        <f>Sales[[#This Row],[Bsmt]]*Lookups!$B$81</f>
        <v>0</v>
      </c>
      <c r="CE8" s="14">
        <f>Sales[[#This Row],[Fixtures]]*Lookups!$B$84</f>
        <v>142171.4</v>
      </c>
      <c r="CF8" s="14">
        <f>Sales[[#This Row],[MsnryFP]]*Lookups!$B$82</f>
        <v>0</v>
      </c>
      <c r="CG8" s="14">
        <f>Sales[[#This Row],[PrefabFP]]*Lookups!$B$83</f>
        <v>42091.021999999997</v>
      </c>
      <c r="CH8" s="14">
        <f>Sales[[#This Row],[GarageArea]]*Lookups!$B$85</f>
        <v>36488.51784</v>
      </c>
      <c r="CI8" s="14">
        <f>SUM(Sales[[#This Row],[Days Prior Total]:[Mdl GarageArea]])</f>
        <v>576447.0745956871</v>
      </c>
      <c r="CJ8" s="14">
        <f>ROUND(Sales[[#This Row],[25Det]],-2)</f>
        <v>0</v>
      </c>
      <c r="CK8" s="14">
        <f>ROUND(SUM(Sales[[#This Row],[Mdl Qlty]:[Mdl GarageArea]])+Sales[[#This Row],[Mdl Res Intercept]]+Sales[[#This Row],[Days Prior Total]],-2)</f>
        <v>587100</v>
      </c>
      <c r="CL8" s="14">
        <f>ROUND(Sales[[#This Row],[Mdl Land Intercept]]+Sales[[#This Row],[Mdl LnAcres]],-2)</f>
        <v>-10700</v>
      </c>
      <c r="CM8" s="14">
        <f>Sales[[#This Row],[Unadj Res Value]]+Sales[[#This Row],[Unadj Det Value]]+Sales[[#This Row],[Unadj Land Value]]</f>
        <v>576400</v>
      </c>
      <c r="CN8" s="15">
        <f>Sales[[#This Row],[Unadj Total Value]]/Sales[[#This Row],[Price]]</f>
        <v>0.97860780984719864</v>
      </c>
      <c r="CO8" s="15">
        <f>(Sales[[#This Row],[Unadj Total Value]]-Sales[[#This Row],[24Final]])/Sales[[#This Row],[24Final]]</f>
        <v>-1.2844665182394245E-2</v>
      </c>
      <c r="CP8">
        <f>VLOOKUP(Sales[[#This Row],[TNbhd]],Lookups!$M$2:$P$4,4,FALSE)</f>
        <v>0.97570000000000001</v>
      </c>
      <c r="CQ8">
        <f>VLOOKUP(Sales[[#This Row],[Qlty]],Lookups!$M$6:$P$20,4,FALSE)</f>
        <v>0.98809999999999998</v>
      </c>
      <c r="CR8">
        <f>VLOOKUP(Sales[[#This Row],[Cnd]],Lookups!$R$6:$U$15,4,FALSE)</f>
        <v>0.98370000000000002</v>
      </c>
      <c r="CS8">
        <f>VLOOKUP(Sales[[#This Row],[LivArea Range]],Lookups!$R$23:$U$39,4,FALSE)</f>
        <v>0.93310000000000004</v>
      </c>
      <c r="CT8">
        <f>VLOOKUP(Sales[[#This Row],[Decade]],Lookups!$M$23:$P$35,4,FALSE)</f>
        <v>0.99060000000000004</v>
      </c>
      <c r="CU8">
        <f>Sales[[#This Row],[Nbhd Adj]]*0.95</f>
        <v>0.92691499999999993</v>
      </c>
      <c r="CV8">
        <f>Sales[[#This Row],[Nbhd Adj]]*Sales[[#This Row],[Quality Adj]]*Sales[[#This Row],[Condition Adj]]*Sales[[#This Row],[Living Area Adj]]*Sales[[#This Row],[Decade Adj]]*0.95</f>
        <v>0.83277943893048667</v>
      </c>
      <c r="CW8">
        <f>ROUND(SUM(Sales[[#This Row],[Mdl Qlty]:[Mdl GarageArea]])+Sales[[#This Row],[Mdl Res Intercept]]*Sales[[#This Row],[Res Adj ]],-2)</f>
        <v>583200</v>
      </c>
      <c r="CX8">
        <f>ROUND(Sales[[#This Row],[25Det]]*Sales[[#This Row],[Det/Nbhd Adj]],-2)</f>
        <v>0</v>
      </c>
      <c r="CY8">
        <f>Sales[[#This Row],[Adjusted Res]]+Sales[[#This Row],[Adj Det ]]</f>
        <v>583200</v>
      </c>
      <c r="CZ8">
        <f>ROUND((Sales[[#This Row],[Mdl Land Intercept]]+Sales[[#This Row],[Mdl LnAcres]])*Sales[[#This Row],[Det/Nbhd Adj]],-2)</f>
        <v>-9900</v>
      </c>
      <c r="DA8">
        <f>Sales[[#This Row],[Adjusted Impr Total]]+Sales[[#This Row],[Adjusted Land Total]]</f>
        <v>573300</v>
      </c>
      <c r="DB8">
        <f>IFERROR((Sales[[#This Row],[Adjusted Impr Total]]-Sales[[#This Row],[24Bldg]])/Sales[[#This Row],[24Bldg]],0)</f>
        <v>0.1265211512458953</v>
      </c>
      <c r="DC8">
        <f>(Sales[[#This Row],[Adjusted Land Total]]-Sales[[#This Row],[24Lnd]])/Sales[[#This Row],[24Lnd]]</f>
        <v>-1.149546827794562</v>
      </c>
      <c r="DD8">
        <f>(Sales[[#This Row],[Adjusted Total]]-Sales[[#This Row],[24Final]])/Sales[[#This Row],[24Final]]</f>
        <v>-1.8153793457783868E-2</v>
      </c>
      <c r="DE8">
        <f>(Sales[[#This Row],[Adjusted Total]]+Sales[[#This Row],[Days Prior Total]])/Sales[[#This Row],[Price]]</f>
        <v>0.95535338879456699</v>
      </c>
    </row>
    <row r="9" spans="1:109" x14ac:dyDescent="0.3">
      <c r="A9">
        <v>2025</v>
      </c>
      <c r="B9">
        <v>18131923437</v>
      </c>
      <c r="C9">
        <v>-3.912023005428146</v>
      </c>
      <c r="D9">
        <v>0.02</v>
      </c>
      <c r="E9">
        <v>7900</v>
      </c>
      <c r="F9">
        <v>1</v>
      </c>
      <c r="G9" t="s">
        <v>89</v>
      </c>
      <c r="H9">
        <v>3042</v>
      </c>
      <c r="I9" t="s">
        <v>302</v>
      </c>
      <c r="J9" t="s">
        <v>26</v>
      </c>
      <c r="K9">
        <v>11</v>
      </c>
      <c r="L9">
        <v>259</v>
      </c>
      <c r="M9" t="s">
        <v>131</v>
      </c>
      <c r="N9" t="s">
        <v>111</v>
      </c>
      <c r="O9" t="s">
        <v>76</v>
      </c>
      <c r="P9">
        <v>2022</v>
      </c>
      <c r="Q9">
        <v>2022</v>
      </c>
      <c r="R9">
        <v>10</v>
      </c>
      <c r="S9">
        <v>2</v>
      </c>
      <c r="T9">
        <v>2</v>
      </c>
      <c r="U9">
        <v>1</v>
      </c>
      <c r="V9">
        <v>2026</v>
      </c>
      <c r="W9">
        <v>0</v>
      </c>
      <c r="X9">
        <v>0</v>
      </c>
      <c r="Y9">
        <v>0</v>
      </c>
      <c r="Z9">
        <v>0</v>
      </c>
      <c r="AA9">
        <v>0</v>
      </c>
      <c r="AB9">
        <v>2026</v>
      </c>
      <c r="AC9">
        <v>2500</v>
      </c>
      <c r="AD9">
        <v>3</v>
      </c>
      <c r="AE9" t="s">
        <v>132</v>
      </c>
      <c r="AF9" t="s">
        <v>153</v>
      </c>
      <c r="AG9" t="s">
        <v>274</v>
      </c>
      <c r="AI9">
        <v>0</v>
      </c>
      <c r="AJ9">
        <v>0</v>
      </c>
      <c r="AK9">
        <v>1</v>
      </c>
      <c r="AL9">
        <v>0</v>
      </c>
      <c r="AM9">
        <v>0</v>
      </c>
      <c r="AN9">
        <v>11</v>
      </c>
      <c r="AO9">
        <v>790</v>
      </c>
      <c r="AP9">
        <v>0</v>
      </c>
      <c r="AQ9">
        <v>790</v>
      </c>
      <c r="AR9">
        <v>0</v>
      </c>
      <c r="AS9">
        <v>0</v>
      </c>
      <c r="AT9">
        <v>0</v>
      </c>
      <c r="AU9">
        <v>0</v>
      </c>
      <c r="AV9">
        <v>100</v>
      </c>
      <c r="AW9">
        <v>100</v>
      </c>
      <c r="AX9">
        <v>411751</v>
      </c>
      <c r="AY9">
        <v>407633</v>
      </c>
      <c r="AZ9">
        <v>392</v>
      </c>
      <c r="BA9">
        <v>365</v>
      </c>
      <c r="BB9">
        <v>27</v>
      </c>
      <c r="BC9">
        <v>0</v>
      </c>
      <c r="BD9" s="6">
        <v>44900</v>
      </c>
      <c r="BE9" t="s">
        <v>146</v>
      </c>
      <c r="BF9">
        <v>533280</v>
      </c>
      <c r="BG9">
        <v>533280</v>
      </c>
      <c r="BH9" t="s">
        <v>198</v>
      </c>
      <c r="BI9">
        <v>30</v>
      </c>
      <c r="BJ9" t="s">
        <v>51</v>
      </c>
      <c r="BK9" t="s">
        <v>314</v>
      </c>
      <c r="BL9">
        <v>487600</v>
      </c>
      <c r="BM9">
        <v>63100</v>
      </c>
      <c r="BN9">
        <v>424500</v>
      </c>
      <c r="BO9">
        <v>0</v>
      </c>
      <c r="BP9">
        <v>0.91434143414341429</v>
      </c>
      <c r="BQ9">
        <v>474777.11449656944</v>
      </c>
      <c r="BR9">
        <v>529937.32815279951</v>
      </c>
      <c r="BS9" s="7">
        <f>(BR9-BL9)/BL9</f>
        <v>8.6827990469236074E-2</v>
      </c>
      <c r="BT9" s="14">
        <f>(Sales[[#This Row],[DP1]]*Lookups!$B$51)+(Sales[[#This Row],[DP2]]*Lookups!$B$52)+(Sales[[#This Row],[DP3]]*Lookups!$B$53)</f>
        <v>-55160.227258000006</v>
      </c>
      <c r="BU9" s="14">
        <f>Lookups!$B$48*0.5</f>
        <v>87214.824999999997</v>
      </c>
      <c r="BV9" s="14">
        <f>Lookups!$B$48*0.5</f>
        <v>87214.824999999997</v>
      </c>
      <c r="BW9" s="14">
        <f>Lookups!$B$49*Sales[[#This Row],[LnAcres]]</f>
        <v>-97909.509328312808</v>
      </c>
      <c r="BX9" s="14">
        <f>VLOOKUP(Sales[[#This Row],[Qlty]],Lookups!$A$54:$E$67,2,FALSE)</f>
        <v>-14329.694740000001</v>
      </c>
      <c r="BY9" s="14">
        <f>VLOOKUP(Sales[[#This Row],[Cnd]],Lookups!$A$68:$E$76,2,FALSE)</f>
        <v>133581.64413</v>
      </c>
      <c r="BZ9" s="14">
        <f>Sales[[#This Row],[Age]]*Lookups!$B$77</f>
        <v>369.02485999999999</v>
      </c>
      <c r="CA9" s="14">
        <f>Sales[[#This Row],[MainFn]]*Lookups!$B$78</f>
        <v>139963.08793400001</v>
      </c>
      <c r="CB9" s="14">
        <f>Sales[[#This Row],[UpprFn]]*Lookups!$B$79</f>
        <v>0</v>
      </c>
      <c r="CC9" s="14">
        <f>Sales[[#This Row],[AddFn]]*Lookups!$B$80</f>
        <v>0</v>
      </c>
      <c r="CD9" s="14">
        <f>Sales[[#This Row],[Bsmt]]*Lookups!$B$81</f>
        <v>0</v>
      </c>
      <c r="CE9" s="14">
        <f>Sales[[#This Row],[Fixtures]]*Lookups!$B$84</f>
        <v>111706.1</v>
      </c>
      <c r="CF9" s="14">
        <f>Sales[[#This Row],[MsnryFP]]*Lookups!$B$82</f>
        <v>0</v>
      </c>
      <c r="CG9" s="14">
        <f>Sales[[#This Row],[PrefabFP]]*Lookups!$B$83</f>
        <v>42091.021999999997</v>
      </c>
      <c r="CH9" s="14">
        <f>Sales[[#This Row],[GarageArea]]*Lookups!$B$85</f>
        <v>40036.012629999997</v>
      </c>
      <c r="CI9" s="14">
        <f>SUM(Sales[[#This Row],[Days Prior Total]:[Mdl GarageArea]])</f>
        <v>474777.11022768717</v>
      </c>
      <c r="CJ9" s="14">
        <f>ROUND(Sales[[#This Row],[25Det]],-2)</f>
        <v>0</v>
      </c>
      <c r="CK9" s="14">
        <f>ROUND(SUM(Sales[[#This Row],[Mdl Qlty]:[Mdl GarageArea]])+Sales[[#This Row],[Mdl Res Intercept]]+Sales[[#This Row],[Days Prior Total]],-2)</f>
        <v>485500</v>
      </c>
      <c r="CL9" s="14">
        <f>ROUND(Sales[[#This Row],[Mdl Land Intercept]]+Sales[[#This Row],[Mdl LnAcres]],-2)</f>
        <v>-10700</v>
      </c>
      <c r="CM9" s="14">
        <f>Sales[[#This Row],[Unadj Res Value]]+Sales[[#This Row],[Unadj Det Value]]+Sales[[#This Row],[Unadj Land Value]]</f>
        <v>474800</v>
      </c>
      <c r="CN9" s="15">
        <f>Sales[[#This Row],[Unadj Total Value]]/Sales[[#This Row],[Price]]</f>
        <v>0.89033903390339031</v>
      </c>
      <c r="CO9" s="15">
        <f>(Sales[[#This Row],[Unadj Total Value]]-Sales[[#This Row],[24Final]])/Sales[[#This Row],[24Final]]</f>
        <v>-2.6251025430680888E-2</v>
      </c>
      <c r="CP9">
        <f>VLOOKUP(Sales[[#This Row],[TNbhd]],Lookups!$M$2:$P$4,4,FALSE)</f>
        <v>0.97570000000000001</v>
      </c>
      <c r="CQ9">
        <f>VLOOKUP(Sales[[#This Row],[Qlty]],Lookups!$M$6:$P$20,4,FALSE)</f>
        <v>0.98809999999999998</v>
      </c>
      <c r="CR9">
        <f>VLOOKUP(Sales[[#This Row],[Cnd]],Lookups!$R$6:$U$15,4,FALSE)</f>
        <v>0.98370000000000002</v>
      </c>
      <c r="CS9">
        <f>VLOOKUP(Sales[[#This Row],[LivArea Range]],Lookups!$R$23:$U$39,4,FALSE)</f>
        <v>0.93440000000000001</v>
      </c>
      <c r="CT9">
        <f>VLOOKUP(Sales[[#This Row],[Decade]],Lookups!$M$23:$P$35,4,FALSE)</f>
        <v>0.99060000000000004</v>
      </c>
      <c r="CU9">
        <f>Sales[[#This Row],[Nbhd Adj]]*0.95</f>
        <v>0.92691499999999993</v>
      </c>
      <c r="CV9">
        <f>Sales[[#This Row],[Nbhd Adj]]*Sales[[#This Row],[Quality Adj]]*Sales[[#This Row],[Condition Adj]]*Sales[[#This Row],[Living Area Adj]]*Sales[[#This Row],[Decade Adj]]*0.95</f>
        <v>0.83393967177863759</v>
      </c>
      <c r="CW9">
        <f>ROUND(SUM(Sales[[#This Row],[Mdl Qlty]:[Mdl GarageArea]])+Sales[[#This Row],[Mdl Res Intercept]]*Sales[[#This Row],[Res Adj ]],-2)</f>
        <v>526100</v>
      </c>
      <c r="CX9">
        <f>ROUND(Sales[[#This Row],[25Det]]*Sales[[#This Row],[Det/Nbhd Adj]],-2)</f>
        <v>0</v>
      </c>
      <c r="CY9">
        <f>Sales[[#This Row],[Adjusted Res]]+Sales[[#This Row],[Adj Det ]]</f>
        <v>526100</v>
      </c>
      <c r="CZ9">
        <f>ROUND((Sales[[#This Row],[Mdl Land Intercept]]+Sales[[#This Row],[Mdl LnAcres]])*Sales[[#This Row],[Det/Nbhd Adj]],-2)</f>
        <v>-9900</v>
      </c>
      <c r="DA9">
        <f>Sales[[#This Row],[Adjusted Impr Total]]+Sales[[#This Row],[Adjusted Land Total]]</f>
        <v>516200</v>
      </c>
      <c r="DB9">
        <f>IFERROR((Sales[[#This Row],[Adjusted Impr Total]]-Sales[[#This Row],[24Bldg]])/Sales[[#This Row],[24Bldg]],0)</f>
        <v>0.23934040047114252</v>
      </c>
      <c r="DC9">
        <f>(Sales[[#This Row],[Adjusted Land Total]]-Sales[[#This Row],[24Lnd]])/Sales[[#This Row],[24Lnd]]</f>
        <v>-1.1568938193343898</v>
      </c>
      <c r="DD9">
        <f>(Sales[[#This Row],[Adjusted Total]]-Sales[[#This Row],[24Final]])/Sales[[#This Row],[24Final]]</f>
        <v>5.8654634946677602E-2</v>
      </c>
      <c r="DE9">
        <f>(Sales[[#This Row],[Adjusted Total]]+Sales[[#This Row],[Days Prior Total]])/Sales[[#This Row],[Price]]</f>
        <v>0.86453602749399938</v>
      </c>
    </row>
    <row r="10" spans="1:109" x14ac:dyDescent="0.3">
      <c r="A10">
        <v>2025</v>
      </c>
      <c r="B10">
        <v>18131531446</v>
      </c>
      <c r="C10">
        <v>-4.6051701859880909</v>
      </c>
      <c r="D10">
        <v>0.01</v>
      </c>
      <c r="E10">
        <v>6375</v>
      </c>
      <c r="F10">
        <v>5</v>
      </c>
      <c r="G10" t="s">
        <v>89</v>
      </c>
      <c r="H10" t="s">
        <v>203</v>
      </c>
      <c r="I10" t="s">
        <v>302</v>
      </c>
      <c r="J10" t="s">
        <v>26</v>
      </c>
      <c r="K10">
        <v>11</v>
      </c>
      <c r="L10">
        <v>259</v>
      </c>
      <c r="M10" t="s">
        <v>313</v>
      </c>
      <c r="N10" t="s">
        <v>50</v>
      </c>
      <c r="O10" t="s">
        <v>76</v>
      </c>
      <c r="P10">
        <v>2021</v>
      </c>
      <c r="Q10">
        <v>2021</v>
      </c>
      <c r="R10">
        <v>10</v>
      </c>
      <c r="S10">
        <v>3</v>
      </c>
      <c r="T10">
        <v>3</v>
      </c>
      <c r="U10">
        <v>1</v>
      </c>
      <c r="V10">
        <v>1976</v>
      </c>
      <c r="W10">
        <v>0</v>
      </c>
      <c r="X10">
        <v>0</v>
      </c>
      <c r="Y10">
        <v>0</v>
      </c>
      <c r="Z10">
        <v>0</v>
      </c>
      <c r="AA10">
        <v>0</v>
      </c>
      <c r="AB10">
        <v>1976</v>
      </c>
      <c r="AC10">
        <v>2000</v>
      </c>
      <c r="AD10">
        <v>3</v>
      </c>
      <c r="AE10" t="s">
        <v>132</v>
      </c>
      <c r="AF10" t="s">
        <v>153</v>
      </c>
      <c r="AG10" t="s">
        <v>274</v>
      </c>
      <c r="AI10">
        <v>0</v>
      </c>
      <c r="AJ10">
        <v>0</v>
      </c>
      <c r="AK10">
        <v>1</v>
      </c>
      <c r="AL10">
        <v>0</v>
      </c>
      <c r="AM10">
        <v>0</v>
      </c>
      <c r="AN10">
        <v>11</v>
      </c>
      <c r="AO10">
        <v>737</v>
      </c>
      <c r="AP10">
        <v>0</v>
      </c>
      <c r="AQ10">
        <v>737</v>
      </c>
      <c r="AR10">
        <v>0</v>
      </c>
      <c r="AS10">
        <v>0</v>
      </c>
      <c r="AT10">
        <v>0</v>
      </c>
      <c r="AU10">
        <v>0</v>
      </c>
      <c r="AV10">
        <v>100</v>
      </c>
      <c r="AW10">
        <v>100</v>
      </c>
      <c r="AX10">
        <v>488766</v>
      </c>
      <c r="AY10">
        <v>488766</v>
      </c>
      <c r="AZ10">
        <v>867</v>
      </c>
      <c r="BA10">
        <v>365</v>
      </c>
      <c r="BB10">
        <v>365</v>
      </c>
      <c r="BC10">
        <v>137</v>
      </c>
      <c r="BD10" s="6">
        <v>44425</v>
      </c>
      <c r="BE10" t="s">
        <v>268</v>
      </c>
      <c r="BF10">
        <v>678103</v>
      </c>
      <c r="BG10">
        <v>678103</v>
      </c>
      <c r="BH10" t="s">
        <v>198</v>
      </c>
      <c r="BI10">
        <v>30</v>
      </c>
      <c r="BJ10" t="s">
        <v>51</v>
      </c>
      <c r="BK10" t="s">
        <v>314</v>
      </c>
      <c r="BL10">
        <v>664000</v>
      </c>
      <c r="BM10">
        <v>53000</v>
      </c>
      <c r="BN10">
        <v>611000</v>
      </c>
      <c r="BO10">
        <v>0</v>
      </c>
      <c r="BP10">
        <v>0.9792022745807053</v>
      </c>
      <c r="BQ10">
        <v>502408.30027843203</v>
      </c>
      <c r="BR10">
        <v>567685.94605062786</v>
      </c>
      <c r="BS10" s="7">
        <f>(BR10-BL10)/BL10</f>
        <v>-0.14505128606833154</v>
      </c>
      <c r="BT10" s="14">
        <f>(Sales[[#This Row],[DP1]]*Lookups!$B$51)+(Sales[[#This Row],[DP2]]*Lookups!$B$52)+(Sales[[#This Row],[DP3]]*Lookups!$B$53)</f>
        <v>-65277.652710000002</v>
      </c>
      <c r="BU10" s="14">
        <f>Lookups!$B$48*0.5</f>
        <v>87214.824999999997</v>
      </c>
      <c r="BV10" s="14">
        <f>Lookups!$B$48*0.5</f>
        <v>87214.824999999997</v>
      </c>
      <c r="BW10" s="14">
        <f>Lookups!$B$49*Sales[[#This Row],[LnAcres]]</f>
        <v>-115257.49021870131</v>
      </c>
      <c r="BX10" s="14">
        <f>VLOOKUP(Sales[[#This Row],[Qlty]],Lookups!$A$54:$E$67,2,FALSE)</f>
        <v>46722.525125</v>
      </c>
      <c r="BY10" s="14">
        <f>VLOOKUP(Sales[[#This Row],[Cnd]],Lookups!$A$68:$E$76,2,FALSE)</f>
        <v>133581.64413</v>
      </c>
      <c r="BZ10" s="14">
        <f>Sales[[#This Row],[Age]]*Lookups!$B$77</f>
        <v>553.53728999999998</v>
      </c>
      <c r="CA10" s="14">
        <f>Sales[[#This Row],[MainFn]]*Lookups!$B$78</f>
        <v>136508.914984</v>
      </c>
      <c r="CB10" s="14">
        <f>Sales[[#This Row],[UpprFn]]*Lookups!$B$79</f>
        <v>0</v>
      </c>
      <c r="CC10" s="14">
        <f>Sales[[#This Row],[AddFn]]*Lookups!$B$80</f>
        <v>0</v>
      </c>
      <c r="CD10" s="14">
        <f>Sales[[#This Row],[Bsmt]]*Lookups!$B$81</f>
        <v>0</v>
      </c>
      <c r="CE10" s="14">
        <f>Sales[[#This Row],[Fixtures]]*Lookups!$B$84</f>
        <v>111706.1</v>
      </c>
      <c r="CF10" s="14">
        <f>Sales[[#This Row],[MsnryFP]]*Lookups!$B$82</f>
        <v>0</v>
      </c>
      <c r="CG10" s="14">
        <f>Sales[[#This Row],[PrefabFP]]*Lookups!$B$83</f>
        <v>42091.021999999997</v>
      </c>
      <c r="CH10" s="14">
        <f>Sales[[#This Row],[GarageArea]]*Lookups!$B$85</f>
        <v>37350.052288999999</v>
      </c>
      <c r="CI10" s="14">
        <f>SUM(Sales[[#This Row],[Days Prior Total]:[Mdl GarageArea]])</f>
        <v>502408.30288929865</v>
      </c>
      <c r="CJ10" s="14">
        <f>ROUND(Sales[[#This Row],[25Det]],-2)</f>
        <v>0</v>
      </c>
      <c r="CK10" s="14">
        <f>ROUND(SUM(Sales[[#This Row],[Mdl Qlty]:[Mdl GarageArea]])+Sales[[#This Row],[Mdl Res Intercept]]+Sales[[#This Row],[Days Prior Total]],-2)</f>
        <v>530500</v>
      </c>
      <c r="CL10" s="14">
        <f>ROUND(Sales[[#This Row],[Mdl Land Intercept]]+Sales[[#This Row],[Mdl LnAcres]],-2)</f>
        <v>-28000</v>
      </c>
      <c r="CM10" s="14">
        <f>Sales[[#This Row],[Unadj Res Value]]+Sales[[#This Row],[Unadj Det Value]]+Sales[[#This Row],[Unadj Land Value]]</f>
        <v>502500</v>
      </c>
      <c r="CN10" s="15">
        <f>Sales[[#This Row],[Unadj Total Value]]/Sales[[#This Row],[Price]]</f>
        <v>0.74103786592892229</v>
      </c>
      <c r="CO10" s="15">
        <f>(Sales[[#This Row],[Unadj Total Value]]-Sales[[#This Row],[24Final]])/Sales[[#This Row],[24Final]]</f>
        <v>-0.24322289156626506</v>
      </c>
      <c r="CP10">
        <f>VLOOKUP(Sales[[#This Row],[TNbhd]],Lookups!$M$2:$P$4,4,FALSE)</f>
        <v>0.97570000000000001</v>
      </c>
      <c r="CQ10">
        <f>VLOOKUP(Sales[[#This Row],[Qlty]],Lookups!$M$6:$P$20,4,FALSE)</f>
        <v>0.98329999999999995</v>
      </c>
      <c r="CR10">
        <f>VLOOKUP(Sales[[#This Row],[Cnd]],Lookups!$R$6:$U$15,4,FALSE)</f>
        <v>0.98370000000000002</v>
      </c>
      <c r="CS10">
        <f>VLOOKUP(Sales[[#This Row],[LivArea Range]],Lookups!$R$23:$U$39,4,FALSE)</f>
        <v>0.99099999999999999</v>
      </c>
      <c r="CT10">
        <f>VLOOKUP(Sales[[#This Row],[Decade]],Lookups!$M$23:$P$35,4,FALSE)</f>
        <v>0.99060000000000004</v>
      </c>
      <c r="CU10">
        <f>Sales[[#This Row],[Nbhd Adj]]*0.95</f>
        <v>0.92691499999999993</v>
      </c>
      <c r="CV10">
        <f>Sales[[#This Row],[Nbhd Adj]]*Sales[[#This Row],[Quality Adj]]*Sales[[#This Row],[Condition Adj]]*Sales[[#This Row],[Living Area Adj]]*Sales[[#This Row],[Decade Adj]]*0.95</f>
        <v>0.88015791530795529</v>
      </c>
      <c r="CW10">
        <f>ROUND(SUM(Sales[[#This Row],[Mdl Qlty]:[Mdl GarageArea]])+Sales[[#This Row],[Mdl Res Intercept]]*Sales[[#This Row],[Res Adj ]],-2)</f>
        <v>585300</v>
      </c>
      <c r="CX10">
        <f>ROUND(Sales[[#This Row],[25Det]]*Sales[[#This Row],[Det/Nbhd Adj]],-2)</f>
        <v>0</v>
      </c>
      <c r="CY10">
        <f>Sales[[#This Row],[Adjusted Res]]+Sales[[#This Row],[Adj Det ]]</f>
        <v>585300</v>
      </c>
      <c r="CZ10">
        <f>ROUND((Sales[[#This Row],[Mdl Land Intercept]]+Sales[[#This Row],[Mdl LnAcres]])*Sales[[#This Row],[Det/Nbhd Adj]],-2)</f>
        <v>-26000</v>
      </c>
      <c r="DA10">
        <f>Sales[[#This Row],[Adjusted Impr Total]]+Sales[[#This Row],[Adjusted Land Total]]</f>
        <v>559300</v>
      </c>
      <c r="DB10">
        <f>IFERROR((Sales[[#This Row],[Adjusted Impr Total]]-Sales[[#This Row],[24Bldg]])/Sales[[#This Row],[24Bldg]],0)</f>
        <v>-4.2062193126022912E-2</v>
      </c>
      <c r="DC10">
        <f>(Sales[[#This Row],[Adjusted Land Total]]-Sales[[#This Row],[24Lnd]])/Sales[[#This Row],[24Lnd]]</f>
        <v>-1.4905660377358489</v>
      </c>
      <c r="DD10">
        <f>(Sales[[#This Row],[Adjusted Total]]-Sales[[#This Row],[24Final]])/Sales[[#This Row],[24Final]]</f>
        <v>-0.15768072289156626</v>
      </c>
      <c r="DE10">
        <f>(Sales[[#This Row],[Adjusted Total]]+Sales[[#This Row],[Days Prior Total]])/Sales[[#This Row],[Price]]</f>
        <v>0.72853585265070353</v>
      </c>
    </row>
    <row r="11" spans="1:109" x14ac:dyDescent="0.3">
      <c r="A11">
        <v>2025</v>
      </c>
      <c r="B11">
        <v>18131531450</v>
      </c>
      <c r="C11">
        <v>-4.6051701859880909</v>
      </c>
      <c r="D11">
        <v>0.01</v>
      </c>
      <c r="E11">
        <v>4121</v>
      </c>
      <c r="F11">
        <v>5</v>
      </c>
      <c r="G11" t="s">
        <v>25</v>
      </c>
      <c r="H11" t="s">
        <v>203</v>
      </c>
      <c r="I11" t="s">
        <v>302</v>
      </c>
      <c r="J11" t="s">
        <v>26</v>
      </c>
      <c r="K11">
        <v>11</v>
      </c>
      <c r="L11">
        <v>262</v>
      </c>
      <c r="M11" t="s">
        <v>273</v>
      </c>
      <c r="N11" t="s">
        <v>189</v>
      </c>
      <c r="O11" t="s">
        <v>76</v>
      </c>
      <c r="P11">
        <v>2021</v>
      </c>
      <c r="Q11">
        <v>2021</v>
      </c>
      <c r="R11">
        <v>10</v>
      </c>
      <c r="S11">
        <v>3</v>
      </c>
      <c r="T11">
        <v>3</v>
      </c>
      <c r="U11">
        <v>1</v>
      </c>
      <c r="V11">
        <v>1332</v>
      </c>
      <c r="W11">
        <v>0</v>
      </c>
      <c r="X11">
        <v>0</v>
      </c>
      <c r="Y11">
        <v>0</v>
      </c>
      <c r="Z11">
        <v>0</v>
      </c>
      <c r="AA11">
        <v>0</v>
      </c>
      <c r="AB11">
        <v>1332</v>
      </c>
      <c r="AC11">
        <v>1500</v>
      </c>
      <c r="AD11">
        <v>2</v>
      </c>
      <c r="AF11" t="s">
        <v>153</v>
      </c>
      <c r="AG11" t="s">
        <v>274</v>
      </c>
      <c r="AI11">
        <v>0</v>
      </c>
      <c r="AJ11">
        <v>0</v>
      </c>
      <c r="AK11">
        <v>1</v>
      </c>
      <c r="AL11">
        <v>0</v>
      </c>
      <c r="AM11">
        <v>0</v>
      </c>
      <c r="AN11">
        <v>10</v>
      </c>
      <c r="AO11">
        <v>0</v>
      </c>
      <c r="AP11">
        <v>484</v>
      </c>
      <c r="AQ11">
        <v>484</v>
      </c>
      <c r="AR11">
        <v>0</v>
      </c>
      <c r="AS11">
        <v>0</v>
      </c>
      <c r="AT11">
        <v>0</v>
      </c>
      <c r="AU11">
        <v>0</v>
      </c>
      <c r="AV11">
        <v>100</v>
      </c>
      <c r="AW11">
        <v>100</v>
      </c>
      <c r="AX11">
        <v>317002</v>
      </c>
      <c r="AY11">
        <v>339192</v>
      </c>
      <c r="AZ11">
        <v>769</v>
      </c>
      <c r="BA11">
        <v>365</v>
      </c>
      <c r="BB11">
        <v>365</v>
      </c>
      <c r="BC11">
        <v>39</v>
      </c>
      <c r="BD11" s="6">
        <v>44523</v>
      </c>
      <c r="BE11" t="s">
        <v>293</v>
      </c>
      <c r="BF11">
        <v>419632</v>
      </c>
      <c r="BG11">
        <v>419632</v>
      </c>
      <c r="BH11" t="s">
        <v>198</v>
      </c>
      <c r="BI11">
        <v>30</v>
      </c>
      <c r="BJ11" t="s">
        <v>51</v>
      </c>
      <c r="BK11" t="s">
        <v>314</v>
      </c>
      <c r="BL11">
        <v>419600</v>
      </c>
      <c r="BM11">
        <v>45000</v>
      </c>
      <c r="BN11">
        <v>374600</v>
      </c>
      <c r="BO11">
        <v>0</v>
      </c>
      <c r="BP11">
        <v>0.99992374270789641</v>
      </c>
      <c r="BQ11">
        <v>560184.80357815209</v>
      </c>
      <c r="BR11">
        <v>595221.0166245267</v>
      </c>
      <c r="BS11" s="7">
        <f>(BR11-BL11)/BL11</f>
        <v>0.41854389090687966</v>
      </c>
      <c r="BT11" s="14">
        <f>(Sales[[#This Row],[DP1]]*Lookups!$B$51)+(Sales[[#This Row],[DP2]]*Lookups!$B$52)+(Sales[[#This Row],[DP3]]*Lookups!$B$53)</f>
        <v>-35036.224710000002</v>
      </c>
      <c r="BU11" s="14">
        <f>Lookups!$B$48*0.5</f>
        <v>87214.824999999997</v>
      </c>
      <c r="BV11" s="14">
        <f>Lookups!$B$48*0.5</f>
        <v>87214.824999999997</v>
      </c>
      <c r="BW11" s="14">
        <f>Lookups!$B$49*Sales[[#This Row],[LnAcres]]</f>
        <v>-115257.49021870131</v>
      </c>
      <c r="BX11" s="14">
        <f>VLOOKUP(Sales[[#This Row],[Qlty]],Lookups!$A$54:$E$67,2,FALSE)</f>
        <v>141724.10243</v>
      </c>
      <c r="BY11" s="14">
        <f>VLOOKUP(Sales[[#This Row],[Cnd]],Lookups!$A$68:$E$76,2,FALSE)</f>
        <v>133581.64413</v>
      </c>
      <c r="BZ11" s="14">
        <f>Sales[[#This Row],[Age]]*Lookups!$B$77</f>
        <v>553.53728999999998</v>
      </c>
      <c r="CA11" s="14">
        <f>Sales[[#This Row],[MainFn]]*Lookups!$B$78</f>
        <v>92019.167388000002</v>
      </c>
      <c r="CB11" s="14">
        <f>Sales[[#This Row],[UpprFn]]*Lookups!$B$79</f>
        <v>0</v>
      </c>
      <c r="CC11" s="14">
        <f>Sales[[#This Row],[AddFn]]*Lookups!$B$80</f>
        <v>0</v>
      </c>
      <c r="CD11" s="14">
        <f>Sales[[#This Row],[Bsmt]]*Lookups!$B$81</f>
        <v>0</v>
      </c>
      <c r="CE11" s="14">
        <f>Sales[[#This Row],[Fixtures]]*Lookups!$B$84</f>
        <v>101551</v>
      </c>
      <c r="CF11" s="14">
        <f>Sales[[#This Row],[MsnryFP]]*Lookups!$B$82</f>
        <v>0</v>
      </c>
      <c r="CG11" s="14">
        <f>Sales[[#This Row],[PrefabFP]]*Lookups!$B$83</f>
        <v>42091.021999999997</v>
      </c>
      <c r="CH11" s="14">
        <f>Sales[[#This Row],[GarageArea]]*Lookups!$B$85</f>
        <v>24528.392548</v>
      </c>
      <c r="CI11" s="14">
        <f>SUM(Sales[[#This Row],[Days Prior Total]:[Mdl GarageArea]])</f>
        <v>560184.80085729866</v>
      </c>
      <c r="CJ11" s="14">
        <f>ROUND(Sales[[#This Row],[25Det]],-2)</f>
        <v>0</v>
      </c>
      <c r="CK11" s="14">
        <f>ROUND(SUM(Sales[[#This Row],[Mdl Qlty]:[Mdl GarageArea]])+Sales[[#This Row],[Mdl Res Intercept]]+Sales[[#This Row],[Days Prior Total]],-2)</f>
        <v>588200</v>
      </c>
      <c r="CL11" s="14">
        <f>ROUND(Sales[[#This Row],[Mdl Land Intercept]]+Sales[[#This Row],[Mdl LnAcres]],-2)</f>
        <v>-28000</v>
      </c>
      <c r="CM11" s="14">
        <f>Sales[[#This Row],[Unadj Res Value]]+Sales[[#This Row],[Unadj Det Value]]+Sales[[#This Row],[Unadj Land Value]]</f>
        <v>560200</v>
      </c>
      <c r="CN11" s="15">
        <f>Sales[[#This Row],[Unadj Total Value]]/Sales[[#This Row],[Price]]</f>
        <v>1.3349792198879018</v>
      </c>
      <c r="CO11" s="15">
        <f>(Sales[[#This Row],[Unadj Total Value]]-Sales[[#This Row],[24Final]])/Sales[[#This Row],[24Final]]</f>
        <v>0.33508102955195423</v>
      </c>
      <c r="CP11">
        <f>VLOOKUP(Sales[[#This Row],[TNbhd]],Lookups!$M$2:$P$4,4,FALSE)</f>
        <v>0.97570000000000001</v>
      </c>
      <c r="CQ11">
        <f>VLOOKUP(Sales[[#This Row],[Qlty]],Lookups!$M$6:$P$20,4,FALSE)</f>
        <v>1.0051000000000001</v>
      </c>
      <c r="CR11">
        <f>VLOOKUP(Sales[[#This Row],[Cnd]],Lookups!$R$6:$U$15,4,FALSE)</f>
        <v>0.98370000000000002</v>
      </c>
      <c r="CS11">
        <f>VLOOKUP(Sales[[#This Row],[LivArea Range]],Lookups!$R$23:$U$39,4,FALSE)</f>
        <v>1.0062</v>
      </c>
      <c r="CT11">
        <f>VLOOKUP(Sales[[#This Row],[Decade]],Lookups!$M$23:$P$35,4,FALSE)</f>
        <v>0.99060000000000004</v>
      </c>
      <c r="CU11">
        <f>Sales[[#This Row],[Nbhd Adj]]*0.95</f>
        <v>0.92691499999999993</v>
      </c>
      <c r="CV11">
        <f>Sales[[#This Row],[Nbhd Adj]]*Sales[[#This Row],[Quality Adj]]*Sales[[#This Row],[Condition Adj]]*Sales[[#This Row],[Living Area Adj]]*Sales[[#This Row],[Decade Adj]]*0.95</f>
        <v>0.91347042567919323</v>
      </c>
      <c r="CW11">
        <f>ROUND(SUM(Sales[[#This Row],[Mdl Qlty]:[Mdl GarageArea]])+Sales[[#This Row],[Mdl Res Intercept]]*Sales[[#This Row],[Res Adj ]],-2)</f>
        <v>615700</v>
      </c>
      <c r="CX11">
        <f>ROUND(Sales[[#This Row],[25Det]]*Sales[[#This Row],[Det/Nbhd Adj]],-2)</f>
        <v>0</v>
      </c>
      <c r="CY11">
        <f>Sales[[#This Row],[Adjusted Res]]+Sales[[#This Row],[Adj Det ]]</f>
        <v>615700</v>
      </c>
      <c r="CZ11">
        <f>ROUND((Sales[[#This Row],[Mdl Land Intercept]]+Sales[[#This Row],[Mdl LnAcres]])*Sales[[#This Row],[Det/Nbhd Adj]],-2)</f>
        <v>-26000</v>
      </c>
      <c r="DA11">
        <f>Sales[[#This Row],[Adjusted Impr Total]]+Sales[[#This Row],[Adjusted Land Total]]</f>
        <v>589700</v>
      </c>
      <c r="DB11">
        <f>IFERROR((Sales[[#This Row],[Adjusted Impr Total]]-Sales[[#This Row],[24Bldg]])/Sales[[#This Row],[24Bldg]],0)</f>
        <v>0.64361986118526426</v>
      </c>
      <c r="DC11">
        <f>(Sales[[#This Row],[Adjusted Land Total]]-Sales[[#This Row],[24Lnd]])/Sales[[#This Row],[24Lnd]]</f>
        <v>-1.5777777777777777</v>
      </c>
      <c r="DD11">
        <f>(Sales[[#This Row],[Adjusted Total]]-Sales[[#This Row],[24Final]])/Sales[[#This Row],[24Final]]</f>
        <v>0.40538608198284082</v>
      </c>
      <c r="DE11">
        <f>(Sales[[#This Row],[Adjusted Total]]+Sales[[#This Row],[Days Prior Total]])/Sales[[#This Row],[Price]]</f>
        <v>1.321786172860983</v>
      </c>
    </row>
    <row r="12" spans="1:109" x14ac:dyDescent="0.3">
      <c r="A12">
        <v>2025</v>
      </c>
      <c r="B12">
        <v>18131531442</v>
      </c>
      <c r="C12">
        <v>-3.912023005428146</v>
      </c>
      <c r="D12">
        <v>0.02</v>
      </c>
      <c r="E12">
        <v>7686</v>
      </c>
      <c r="F12">
        <v>5</v>
      </c>
      <c r="G12" t="s">
        <v>89</v>
      </c>
      <c r="H12" t="s">
        <v>203</v>
      </c>
      <c r="I12" t="s">
        <v>302</v>
      </c>
      <c r="J12" t="s">
        <v>26</v>
      </c>
      <c r="K12">
        <v>11</v>
      </c>
      <c r="L12">
        <v>259</v>
      </c>
      <c r="M12" t="s">
        <v>313</v>
      </c>
      <c r="N12" t="s">
        <v>189</v>
      </c>
      <c r="O12" t="s">
        <v>76</v>
      </c>
      <c r="P12">
        <v>2021</v>
      </c>
      <c r="Q12">
        <v>2021</v>
      </c>
      <c r="R12">
        <v>10</v>
      </c>
      <c r="S12">
        <v>3</v>
      </c>
      <c r="T12">
        <v>3</v>
      </c>
      <c r="U12">
        <v>2</v>
      </c>
      <c r="V12">
        <v>1987</v>
      </c>
      <c r="W12">
        <v>1608</v>
      </c>
      <c r="X12">
        <v>0</v>
      </c>
      <c r="Y12">
        <v>0</v>
      </c>
      <c r="Z12">
        <v>0</v>
      </c>
      <c r="AA12">
        <v>0</v>
      </c>
      <c r="AB12">
        <v>3595</v>
      </c>
      <c r="AC12">
        <v>4000</v>
      </c>
      <c r="AD12">
        <v>3</v>
      </c>
      <c r="AE12" t="s">
        <v>132</v>
      </c>
      <c r="AF12" t="s">
        <v>153</v>
      </c>
      <c r="AG12" t="s">
        <v>274</v>
      </c>
      <c r="AI12">
        <v>0</v>
      </c>
      <c r="AJ12">
        <v>0</v>
      </c>
      <c r="AK12">
        <v>1</v>
      </c>
      <c r="AL12">
        <v>4</v>
      </c>
      <c r="AM12">
        <v>0</v>
      </c>
      <c r="AN12">
        <v>15</v>
      </c>
      <c r="AO12">
        <v>692</v>
      </c>
      <c r="AP12">
        <v>0</v>
      </c>
      <c r="AQ12">
        <v>692</v>
      </c>
      <c r="AR12">
        <v>0</v>
      </c>
      <c r="AS12">
        <v>0</v>
      </c>
      <c r="AT12">
        <v>0</v>
      </c>
      <c r="AU12">
        <v>0</v>
      </c>
      <c r="AV12">
        <v>100</v>
      </c>
      <c r="AW12">
        <v>100</v>
      </c>
      <c r="AX12">
        <v>876734</v>
      </c>
      <c r="AY12">
        <v>876734</v>
      </c>
      <c r="AZ12">
        <v>756</v>
      </c>
      <c r="BA12">
        <v>365</v>
      </c>
      <c r="BB12">
        <v>365</v>
      </c>
      <c r="BC12">
        <v>26</v>
      </c>
      <c r="BD12" s="6">
        <v>44536</v>
      </c>
      <c r="BE12" t="s">
        <v>224</v>
      </c>
      <c r="BF12">
        <v>919246</v>
      </c>
      <c r="BG12">
        <v>919246</v>
      </c>
      <c r="BH12" t="s">
        <v>198</v>
      </c>
      <c r="BI12">
        <v>30</v>
      </c>
      <c r="BJ12" t="s">
        <v>51</v>
      </c>
      <c r="BK12" t="s">
        <v>314</v>
      </c>
      <c r="BL12">
        <v>939700</v>
      </c>
      <c r="BM12">
        <v>63000</v>
      </c>
      <c r="BN12">
        <v>876700</v>
      </c>
      <c r="BO12">
        <v>0</v>
      </c>
      <c r="BP12">
        <v>1.0222508447140373</v>
      </c>
      <c r="BQ12">
        <v>786494.84714287729</v>
      </c>
      <c r="BR12">
        <v>817519.44156235724</v>
      </c>
      <c r="BS12" s="7">
        <f>(BR12-BL12)/BL12</f>
        <v>-0.13002081349115968</v>
      </c>
      <c r="BT12" s="14">
        <f>(Sales[[#This Row],[DP1]]*Lookups!$B$51)+(Sales[[#This Row],[DP2]]*Lookups!$B$52)+(Sales[[#This Row],[DP3]]*Lookups!$B$53)</f>
        <v>-31024.606710000004</v>
      </c>
      <c r="BU12" s="14">
        <f>Lookups!$B$48*0.5</f>
        <v>87214.824999999997</v>
      </c>
      <c r="BV12" s="14">
        <f>Lookups!$B$48*0.5</f>
        <v>87214.824999999997</v>
      </c>
      <c r="BW12" s="14">
        <f>Lookups!$B$49*Sales[[#This Row],[LnAcres]]</f>
        <v>-97909.509328312808</v>
      </c>
      <c r="BX12" s="14">
        <f>VLOOKUP(Sales[[#This Row],[Qlty]],Lookups!$A$54:$E$67,2,FALSE)</f>
        <v>141724.10243</v>
      </c>
      <c r="BY12" s="14">
        <f>VLOOKUP(Sales[[#This Row],[Cnd]],Lookups!$A$68:$E$76,2,FALSE)</f>
        <v>133581.64413</v>
      </c>
      <c r="BZ12" s="14">
        <f>Sales[[#This Row],[Age]]*Lookups!$B$77</f>
        <v>553.53728999999998</v>
      </c>
      <c r="CA12" s="14">
        <f>Sales[[#This Row],[MainFn]]*Lookups!$B$78</f>
        <v>137268.833033</v>
      </c>
      <c r="CB12" s="14">
        <f>Sales[[#This Row],[UpprFn]]*Lookups!$B$79</f>
        <v>98384.15340000001</v>
      </c>
      <c r="CC12" s="14">
        <f>Sales[[#This Row],[AddFn]]*Lookups!$B$80</f>
        <v>0</v>
      </c>
      <c r="CD12" s="14">
        <f>Sales[[#This Row],[Bsmt]]*Lookups!$B$81</f>
        <v>0</v>
      </c>
      <c r="CE12" s="14">
        <f>Sales[[#This Row],[Fixtures]]*Lookups!$B$84</f>
        <v>152326.5</v>
      </c>
      <c r="CF12" s="14">
        <f>Sales[[#This Row],[MsnryFP]]*Lookups!$B$82</f>
        <v>0</v>
      </c>
      <c r="CG12" s="14">
        <f>Sales[[#This Row],[PrefabFP]]*Lookups!$B$83</f>
        <v>42091.021999999997</v>
      </c>
      <c r="CH12" s="14">
        <f>Sales[[#This Row],[GarageArea]]*Lookups!$B$85</f>
        <v>35069.519924</v>
      </c>
      <c r="CI12" s="14">
        <f>SUM(Sales[[#This Row],[Days Prior Total]:[Mdl GarageArea]])</f>
        <v>786494.84616868733</v>
      </c>
      <c r="CJ12" s="14">
        <f>ROUND(Sales[[#This Row],[25Det]],-2)</f>
        <v>0</v>
      </c>
      <c r="CK12" s="14">
        <f>ROUND(SUM(Sales[[#This Row],[Mdl Qlty]:[Mdl GarageArea]])+Sales[[#This Row],[Mdl Res Intercept]]+Sales[[#This Row],[Days Prior Total]],-2)</f>
        <v>797200</v>
      </c>
      <c r="CL12" s="14">
        <f>ROUND(Sales[[#This Row],[Mdl Land Intercept]]+Sales[[#This Row],[Mdl LnAcres]],-2)</f>
        <v>-10700</v>
      </c>
      <c r="CM12" s="14">
        <f>Sales[[#This Row],[Unadj Res Value]]+Sales[[#This Row],[Unadj Det Value]]+Sales[[#This Row],[Unadj Land Value]]</f>
        <v>786500</v>
      </c>
      <c r="CN12" s="15">
        <f>Sales[[#This Row],[Unadj Total Value]]/Sales[[#This Row],[Price]]</f>
        <v>0.85559251821601612</v>
      </c>
      <c r="CO12" s="15">
        <f>(Sales[[#This Row],[Unadj Total Value]]-Sales[[#This Row],[24Final]])/Sales[[#This Row],[24Final]]</f>
        <v>-0.16303075449611579</v>
      </c>
      <c r="CP12">
        <f>VLOOKUP(Sales[[#This Row],[TNbhd]],Lookups!$M$2:$P$4,4,FALSE)</f>
        <v>0.97570000000000001</v>
      </c>
      <c r="CQ12">
        <f>VLOOKUP(Sales[[#This Row],[Qlty]],Lookups!$M$6:$P$20,4,FALSE)</f>
        <v>1.0051000000000001</v>
      </c>
      <c r="CR12">
        <f>VLOOKUP(Sales[[#This Row],[Cnd]],Lookups!$R$6:$U$15,4,FALSE)</f>
        <v>0.98370000000000002</v>
      </c>
      <c r="CS12">
        <f>VLOOKUP(Sales[[#This Row],[LivArea Range]],Lookups!$R$23:$U$39,4,FALSE)</f>
        <v>1.034</v>
      </c>
      <c r="CT12">
        <f>VLOOKUP(Sales[[#This Row],[Decade]],Lookups!$M$23:$P$35,4,FALSE)</f>
        <v>0.99060000000000004</v>
      </c>
      <c r="CU12">
        <f>Sales[[#This Row],[Nbhd Adj]]*0.95</f>
        <v>0.92691499999999993</v>
      </c>
      <c r="CV12">
        <f>Sales[[#This Row],[Nbhd Adj]]*Sales[[#This Row],[Quality Adj]]*Sales[[#This Row],[Condition Adj]]*Sales[[#This Row],[Living Area Adj]]*Sales[[#This Row],[Decade Adj]]*0.95</f>
        <v>0.93870842789931008</v>
      </c>
      <c r="CW12">
        <f>ROUND(SUM(Sales[[#This Row],[Mdl Qlty]:[Mdl GarageArea]])+Sales[[#This Row],[Mdl Res Intercept]]*Sales[[#This Row],[Res Adj ]],-2)</f>
        <v>822900</v>
      </c>
      <c r="CX12">
        <f>ROUND(Sales[[#This Row],[25Det]]*Sales[[#This Row],[Det/Nbhd Adj]],-2)</f>
        <v>0</v>
      </c>
      <c r="CY12">
        <f>Sales[[#This Row],[Adjusted Res]]+Sales[[#This Row],[Adj Det ]]</f>
        <v>822900</v>
      </c>
      <c r="CZ12">
        <f>ROUND((Sales[[#This Row],[Mdl Land Intercept]]+Sales[[#This Row],[Mdl LnAcres]])*Sales[[#This Row],[Det/Nbhd Adj]],-2)</f>
        <v>-9900</v>
      </c>
      <c r="DA12">
        <f>Sales[[#This Row],[Adjusted Impr Total]]+Sales[[#This Row],[Adjusted Land Total]]</f>
        <v>813000</v>
      </c>
      <c r="DB12">
        <f>IFERROR((Sales[[#This Row],[Adjusted Impr Total]]-Sales[[#This Row],[24Bldg]])/Sales[[#This Row],[24Bldg]],0)</f>
        <v>-6.1366487966237025E-2</v>
      </c>
      <c r="DC12">
        <f>(Sales[[#This Row],[Adjusted Land Total]]-Sales[[#This Row],[24Lnd]])/Sales[[#This Row],[24Lnd]]</f>
        <v>-1.1571428571428573</v>
      </c>
      <c r="DD12">
        <f>(Sales[[#This Row],[Adjusted Total]]-Sales[[#This Row],[24Final]])/Sales[[#This Row],[24Final]]</f>
        <v>-0.13483026497818454</v>
      </c>
      <c r="DE12">
        <f>(Sales[[#This Row],[Adjusted Total]]+Sales[[#This Row],[Days Prior Total]])/Sales[[#This Row],[Price]]</f>
        <v>0.85067043347482618</v>
      </c>
    </row>
    <row r="13" spans="1:109" x14ac:dyDescent="0.3">
      <c r="A13">
        <v>2025</v>
      </c>
      <c r="B13">
        <v>18131524446</v>
      </c>
      <c r="C13">
        <v>-1.3470736479666092</v>
      </c>
      <c r="D13">
        <v>0.26</v>
      </c>
      <c r="E13">
        <v>11178</v>
      </c>
      <c r="F13">
        <v>5</v>
      </c>
      <c r="G13" t="s">
        <v>89</v>
      </c>
      <c r="H13">
        <v>3041</v>
      </c>
      <c r="I13" t="s">
        <v>302</v>
      </c>
      <c r="J13" t="s">
        <v>26</v>
      </c>
      <c r="K13">
        <v>11</v>
      </c>
      <c r="L13">
        <v>259</v>
      </c>
      <c r="M13" t="s">
        <v>171</v>
      </c>
      <c r="N13" t="s">
        <v>205</v>
      </c>
      <c r="O13" t="s">
        <v>76</v>
      </c>
      <c r="P13">
        <v>2020</v>
      </c>
      <c r="Q13">
        <v>2020</v>
      </c>
      <c r="R13">
        <v>10</v>
      </c>
      <c r="S13">
        <v>4</v>
      </c>
      <c r="T13">
        <v>4</v>
      </c>
      <c r="U13">
        <v>2</v>
      </c>
      <c r="V13">
        <v>1419</v>
      </c>
      <c r="W13">
        <v>0</v>
      </c>
      <c r="X13">
        <v>0</v>
      </c>
      <c r="Y13">
        <v>919</v>
      </c>
      <c r="Z13">
        <v>919</v>
      </c>
      <c r="AA13">
        <v>0</v>
      </c>
      <c r="AB13">
        <v>2338</v>
      </c>
      <c r="AC13">
        <v>2500</v>
      </c>
      <c r="AD13">
        <v>2</v>
      </c>
      <c r="AE13" t="s">
        <v>132</v>
      </c>
      <c r="AF13" t="s">
        <v>153</v>
      </c>
      <c r="AG13" t="s">
        <v>274</v>
      </c>
      <c r="AI13">
        <v>0</v>
      </c>
      <c r="AJ13">
        <v>0</v>
      </c>
      <c r="AK13">
        <v>1</v>
      </c>
      <c r="AL13">
        <v>0</v>
      </c>
      <c r="AM13">
        <v>1</v>
      </c>
      <c r="AN13">
        <v>11</v>
      </c>
      <c r="AO13">
        <v>0</v>
      </c>
      <c r="AP13">
        <v>770</v>
      </c>
      <c r="AQ13">
        <v>770</v>
      </c>
      <c r="AR13">
        <v>0</v>
      </c>
      <c r="AS13">
        <v>0</v>
      </c>
      <c r="AT13">
        <v>0</v>
      </c>
      <c r="AU13">
        <v>0</v>
      </c>
      <c r="AV13">
        <v>100</v>
      </c>
      <c r="AW13">
        <v>100</v>
      </c>
      <c r="AX13">
        <v>341253</v>
      </c>
      <c r="AY13">
        <v>334428</v>
      </c>
      <c r="AZ13">
        <v>424</v>
      </c>
      <c r="BA13">
        <v>365</v>
      </c>
      <c r="BB13">
        <v>59</v>
      </c>
      <c r="BC13">
        <v>0</v>
      </c>
      <c r="BD13" s="6">
        <v>44868</v>
      </c>
      <c r="BE13" t="s">
        <v>42</v>
      </c>
      <c r="BF13">
        <v>500000</v>
      </c>
      <c r="BG13">
        <v>500000</v>
      </c>
      <c r="BH13" t="s">
        <v>198</v>
      </c>
      <c r="BI13">
        <v>30</v>
      </c>
      <c r="BJ13" t="s">
        <v>51</v>
      </c>
      <c r="BK13" t="s">
        <v>314</v>
      </c>
      <c r="BL13">
        <v>487300</v>
      </c>
      <c r="BM13">
        <v>84000</v>
      </c>
      <c r="BN13">
        <v>403300</v>
      </c>
      <c r="BO13">
        <v>0</v>
      </c>
      <c r="BP13">
        <v>0.97460000000000002</v>
      </c>
      <c r="BQ13">
        <v>509746.07860185264</v>
      </c>
      <c r="BR13">
        <v>561861.66679152276</v>
      </c>
      <c r="BS13" s="7">
        <f>(BR13-BL13)/BL13</f>
        <v>0.15300978204704035</v>
      </c>
      <c r="BT13" s="14">
        <f>(Sales[[#This Row],[DP1]]*Lookups!$B$51)+(Sales[[#This Row],[DP2]]*Lookups!$B$52)+(Sales[[#This Row],[DP3]]*Lookups!$B$53)</f>
        <v>-52115.601786000007</v>
      </c>
      <c r="BU13" s="14">
        <f>Lookups!$B$48*0.5</f>
        <v>87214.824999999997</v>
      </c>
      <c r="BV13" s="14">
        <f>Lookups!$B$48*0.5</f>
        <v>87214.824999999997</v>
      </c>
      <c r="BW13" s="14">
        <f>Lookups!$B$49*Sales[[#This Row],[LnAcres]]</f>
        <v>-33714.35181196651</v>
      </c>
      <c r="BX13" s="14">
        <f>VLOOKUP(Sales[[#This Row],[Qlty]],Lookups!$A$54:$E$67,2,FALSE)</f>
        <v>30313.66692</v>
      </c>
      <c r="BY13" s="14">
        <f>VLOOKUP(Sales[[#This Row],[Cnd]],Lookups!$A$68:$E$76,2,FALSE)</f>
        <v>133581.64413</v>
      </c>
      <c r="BZ13" s="14">
        <f>Sales[[#This Row],[Age]]*Lookups!$B$77</f>
        <v>738.04971999999998</v>
      </c>
      <c r="CA13" s="14">
        <f>Sales[[#This Row],[MainFn]]*Lookups!$B$78</f>
        <v>98029.428321000014</v>
      </c>
      <c r="CB13" s="14">
        <f>Sales[[#This Row],[UpprFn]]*Lookups!$B$79</f>
        <v>0</v>
      </c>
      <c r="CC13" s="14">
        <f>Sales[[#This Row],[AddFn]]*Lookups!$B$80</f>
        <v>0</v>
      </c>
      <c r="CD13" s="14">
        <f>Sales[[#This Row],[Bsmt]]*Lookups!$B$81</f>
        <v>26291.356701999997</v>
      </c>
      <c r="CE13" s="14">
        <f>Sales[[#This Row],[Fixtures]]*Lookups!$B$84</f>
        <v>111706.1</v>
      </c>
      <c r="CF13" s="14">
        <f>Sales[[#This Row],[MsnryFP]]*Lookups!$B$82</f>
        <v>0</v>
      </c>
      <c r="CG13" s="14">
        <f>Sales[[#This Row],[PrefabFP]]*Lookups!$B$83</f>
        <v>42091.021999999997</v>
      </c>
      <c r="CH13" s="14">
        <f>Sales[[#This Row],[GarageArea]]*Lookups!$B$85</f>
        <v>39022.442690000003</v>
      </c>
      <c r="CI13" s="14">
        <f>SUM(Sales[[#This Row],[Days Prior Total]:[Mdl GarageArea]])</f>
        <v>570373.40688503359</v>
      </c>
      <c r="CJ13" s="14">
        <f>ROUND(Sales[[#This Row],[25Det]],-2)</f>
        <v>0</v>
      </c>
      <c r="CK13" s="14">
        <f>ROUND(SUM(Sales[[#This Row],[Mdl Qlty]:[Mdl GarageArea]])+Sales[[#This Row],[Mdl Res Intercept]]+Sales[[#This Row],[Days Prior Total]],-2)</f>
        <v>516900</v>
      </c>
      <c r="CL13" s="14">
        <f>ROUND(Sales[[#This Row],[Mdl Land Intercept]]+Sales[[#This Row],[Mdl LnAcres]],-2)</f>
        <v>53500</v>
      </c>
      <c r="CM13" s="14">
        <f>Sales[[#This Row],[Unadj Res Value]]+Sales[[#This Row],[Unadj Det Value]]+Sales[[#This Row],[Unadj Land Value]]</f>
        <v>570400</v>
      </c>
      <c r="CN13" s="15">
        <f>Sales[[#This Row],[Unadj Total Value]]/Sales[[#This Row],[Price]]</f>
        <v>1.1408</v>
      </c>
      <c r="CO13" s="15">
        <f>(Sales[[#This Row],[Unadj Total Value]]-Sales[[#This Row],[24Final]])/Sales[[#This Row],[24Final]]</f>
        <v>0.1705315001026062</v>
      </c>
      <c r="CP13">
        <f>VLOOKUP(Sales[[#This Row],[TNbhd]],Lookups!$M$2:$P$4,4,FALSE)</f>
        <v>0.97570000000000001</v>
      </c>
      <c r="CQ13">
        <f>VLOOKUP(Sales[[#This Row],[Qlty]],Lookups!$M$6:$P$20,4,FALSE)</f>
        <v>0.85299999999999998</v>
      </c>
      <c r="CR13">
        <f>VLOOKUP(Sales[[#This Row],[Cnd]],Lookups!$R$6:$U$15,4,FALSE)</f>
        <v>0.98370000000000002</v>
      </c>
      <c r="CS13">
        <f>VLOOKUP(Sales[[#This Row],[LivArea Range]],Lookups!$R$23:$U$39,4,FALSE)</f>
        <v>0.93440000000000001</v>
      </c>
      <c r="CT13">
        <f>VLOOKUP(Sales[[#This Row],[Decade]],Lookups!$M$23:$P$35,4,FALSE)</f>
        <v>0.99060000000000004</v>
      </c>
      <c r="CU13">
        <f>Sales[[#This Row],[Nbhd Adj]]*0.95</f>
        <v>0.92691499999999993</v>
      </c>
      <c r="CV13">
        <f>Sales[[#This Row],[Nbhd Adj]]*Sales[[#This Row],[Quality Adj]]*Sales[[#This Row],[Condition Adj]]*Sales[[#This Row],[Living Area Adj]]*Sales[[#This Row],[Decade Adj]]*0.95</f>
        <v>0.7199175589790282</v>
      </c>
      <c r="CW13">
        <f>ROUND(SUM(Sales[[#This Row],[Mdl Qlty]:[Mdl GarageArea]])+Sales[[#This Row],[Mdl Res Intercept]]*Sales[[#This Row],[Res Adj ]],-2)</f>
        <v>544600</v>
      </c>
      <c r="CX13">
        <f>ROUND(Sales[[#This Row],[25Det]]*Sales[[#This Row],[Det/Nbhd Adj]],-2)</f>
        <v>0</v>
      </c>
      <c r="CY13">
        <f>Sales[[#This Row],[Adjusted Res]]+Sales[[#This Row],[Adj Det ]]</f>
        <v>544600</v>
      </c>
      <c r="CZ13">
        <f>ROUND((Sales[[#This Row],[Mdl Land Intercept]]+Sales[[#This Row],[Mdl LnAcres]])*Sales[[#This Row],[Det/Nbhd Adj]],-2)</f>
        <v>49600</v>
      </c>
      <c r="DA13">
        <f>Sales[[#This Row],[Adjusted Impr Total]]+Sales[[#This Row],[Adjusted Land Total]]</f>
        <v>594200</v>
      </c>
      <c r="DB13">
        <f>IFERROR((Sales[[#This Row],[Adjusted Impr Total]]-Sales[[#This Row],[24Bldg]])/Sales[[#This Row],[24Bldg]],0)</f>
        <v>0.3503595338457724</v>
      </c>
      <c r="DC13">
        <f>(Sales[[#This Row],[Adjusted Land Total]]-Sales[[#This Row],[24Lnd]])/Sales[[#This Row],[24Lnd]]</f>
        <v>-0.40952380952380951</v>
      </c>
      <c r="DD13">
        <f>(Sales[[#This Row],[Adjusted Total]]-Sales[[#This Row],[24Final]])/Sales[[#This Row],[24Final]]</f>
        <v>0.21937205007182434</v>
      </c>
      <c r="DE13">
        <f>(Sales[[#This Row],[Adjusted Total]]+Sales[[#This Row],[Days Prior Total]])/Sales[[#This Row],[Price]]</f>
        <v>1.084168796428</v>
      </c>
    </row>
    <row r="14" spans="1:109" x14ac:dyDescent="0.3">
      <c r="A14">
        <v>2025</v>
      </c>
      <c r="B14">
        <v>18131743494</v>
      </c>
      <c r="C14">
        <v>-1.1394342831883648</v>
      </c>
      <c r="D14">
        <v>0.32</v>
      </c>
      <c r="E14">
        <v>13913</v>
      </c>
      <c r="F14">
        <v>1</v>
      </c>
      <c r="G14" t="s">
        <v>89</v>
      </c>
      <c r="H14">
        <v>3041</v>
      </c>
      <c r="I14" t="s">
        <v>302</v>
      </c>
      <c r="J14" t="s">
        <v>110</v>
      </c>
      <c r="K14">
        <v>11</v>
      </c>
      <c r="L14">
        <v>259</v>
      </c>
      <c r="M14" t="s">
        <v>131</v>
      </c>
      <c r="N14" t="s">
        <v>111</v>
      </c>
      <c r="O14" t="s">
        <v>76</v>
      </c>
      <c r="P14">
        <v>2020</v>
      </c>
      <c r="Q14">
        <v>2020</v>
      </c>
      <c r="R14">
        <v>10</v>
      </c>
      <c r="S14">
        <v>4</v>
      </c>
      <c r="T14">
        <v>4</v>
      </c>
      <c r="U14">
        <v>2</v>
      </c>
      <c r="V14">
        <v>1512</v>
      </c>
      <c r="W14">
        <v>1056</v>
      </c>
      <c r="X14">
        <v>0</v>
      </c>
      <c r="Y14">
        <v>0</v>
      </c>
      <c r="Z14">
        <v>0</v>
      </c>
      <c r="AA14">
        <v>0</v>
      </c>
      <c r="AB14">
        <v>2568</v>
      </c>
      <c r="AC14">
        <v>3000</v>
      </c>
      <c r="AD14">
        <v>2</v>
      </c>
      <c r="AE14" t="s">
        <v>132</v>
      </c>
      <c r="AF14" t="s">
        <v>153</v>
      </c>
      <c r="AG14" t="s">
        <v>274</v>
      </c>
      <c r="AI14">
        <v>0</v>
      </c>
      <c r="AJ14">
        <v>0</v>
      </c>
      <c r="AK14">
        <v>1</v>
      </c>
      <c r="AL14">
        <v>0</v>
      </c>
      <c r="AM14">
        <v>0</v>
      </c>
      <c r="AN14">
        <v>9</v>
      </c>
      <c r="AO14">
        <v>588</v>
      </c>
      <c r="AP14">
        <v>0</v>
      </c>
      <c r="AQ14">
        <v>588</v>
      </c>
      <c r="AR14">
        <v>0</v>
      </c>
      <c r="AS14">
        <v>0</v>
      </c>
      <c r="AT14">
        <v>0</v>
      </c>
      <c r="AU14">
        <v>0</v>
      </c>
      <c r="AV14">
        <v>100</v>
      </c>
      <c r="AW14">
        <v>100</v>
      </c>
      <c r="AX14">
        <v>434312</v>
      </c>
      <c r="AY14">
        <v>425626</v>
      </c>
      <c r="AZ14">
        <v>991</v>
      </c>
      <c r="BA14">
        <v>365</v>
      </c>
      <c r="BB14">
        <v>365</v>
      </c>
      <c r="BC14">
        <v>261</v>
      </c>
      <c r="BD14" s="6">
        <v>44301</v>
      </c>
      <c r="BE14" t="s">
        <v>223</v>
      </c>
      <c r="BF14">
        <v>549000</v>
      </c>
      <c r="BG14">
        <v>549000</v>
      </c>
      <c r="BH14" t="s">
        <v>198</v>
      </c>
      <c r="BI14">
        <v>30</v>
      </c>
      <c r="BJ14" t="s">
        <v>51</v>
      </c>
      <c r="BK14" t="s">
        <v>314</v>
      </c>
      <c r="BL14">
        <v>534500</v>
      </c>
      <c r="BM14">
        <v>95800</v>
      </c>
      <c r="BN14">
        <v>438700</v>
      </c>
      <c r="BO14">
        <v>0</v>
      </c>
      <c r="BP14">
        <v>0.9735883424408015</v>
      </c>
      <c r="BQ14">
        <v>494710.29721467925</v>
      </c>
      <c r="BR14">
        <v>598252.61296648544</v>
      </c>
      <c r="BS14" s="7">
        <f>(BR14-BL14)/BL14</f>
        <v>0.11927523473617481</v>
      </c>
      <c r="BT14" s="14">
        <f>(Sales[[#This Row],[DP1]]*Lookups!$B$51)+(Sales[[#This Row],[DP2]]*Lookups!$B$52)+(Sales[[#This Row],[DP3]]*Lookups!$B$53)</f>
        <v>-103542.31671</v>
      </c>
      <c r="BU14" s="14">
        <f>Lookups!$B$48*0.5</f>
        <v>87214.824999999997</v>
      </c>
      <c r="BV14" s="14">
        <f>Lookups!$B$48*0.5</f>
        <v>87214.824999999997</v>
      </c>
      <c r="BW14" s="14">
        <f>Lookups!$B$49*Sales[[#This Row],[LnAcres]]</f>
        <v>-28517.585766758784</v>
      </c>
      <c r="BX14" s="14">
        <f>VLOOKUP(Sales[[#This Row],[Qlty]],Lookups!$A$54:$E$67,2,FALSE)</f>
        <v>-14329.694740000001</v>
      </c>
      <c r="BY14" s="14">
        <f>VLOOKUP(Sales[[#This Row],[Cnd]],Lookups!$A$68:$E$76,2,FALSE)</f>
        <v>133581.64413</v>
      </c>
      <c r="BZ14" s="14">
        <f>Sales[[#This Row],[Age]]*Lookups!$B$77</f>
        <v>738.04971999999998</v>
      </c>
      <c r="CA14" s="14">
        <f>Sales[[#This Row],[MainFn]]*Lookups!$B$78</f>
        <v>104454.19000800001</v>
      </c>
      <c r="CB14" s="14">
        <f>Sales[[#This Row],[UpprFn]]*Lookups!$B$79</f>
        <v>64610.488800000006</v>
      </c>
      <c r="CC14" s="14">
        <f>Sales[[#This Row],[AddFn]]*Lookups!$B$80</f>
        <v>0</v>
      </c>
      <c r="CD14" s="14">
        <f>Sales[[#This Row],[Bsmt]]*Lookups!$B$81</f>
        <v>0</v>
      </c>
      <c r="CE14" s="14">
        <f>Sales[[#This Row],[Fixtures]]*Lookups!$B$84</f>
        <v>91395.900000000009</v>
      </c>
      <c r="CF14" s="14">
        <f>Sales[[#This Row],[MsnryFP]]*Lookups!$B$82</f>
        <v>0</v>
      </c>
      <c r="CG14" s="14">
        <f>Sales[[#This Row],[PrefabFP]]*Lookups!$B$83</f>
        <v>42091.021999999997</v>
      </c>
      <c r="CH14" s="14">
        <f>Sales[[#This Row],[GarageArea]]*Lookups!$B$85</f>
        <v>29798.956236000002</v>
      </c>
      <c r="CI14" s="14">
        <f>SUM(Sales[[#This Row],[Days Prior Total]:[Mdl GarageArea]])</f>
        <v>494710.3036772412</v>
      </c>
      <c r="CJ14" s="14">
        <f>ROUND(Sales[[#This Row],[25Det]],-2)</f>
        <v>0</v>
      </c>
      <c r="CK14" s="14">
        <f>ROUND(SUM(Sales[[#This Row],[Mdl Qlty]:[Mdl GarageArea]])+Sales[[#This Row],[Mdl Res Intercept]]+Sales[[#This Row],[Days Prior Total]],-2)</f>
        <v>436000</v>
      </c>
      <c r="CL14" s="14">
        <f>ROUND(Sales[[#This Row],[Mdl Land Intercept]]+Sales[[#This Row],[Mdl LnAcres]],-2)</f>
        <v>58700</v>
      </c>
      <c r="CM14" s="14">
        <f>Sales[[#This Row],[Unadj Res Value]]+Sales[[#This Row],[Unadj Det Value]]+Sales[[#This Row],[Unadj Land Value]]</f>
        <v>494700</v>
      </c>
      <c r="CN14" s="15">
        <f>Sales[[#This Row],[Unadj Total Value]]/Sales[[#This Row],[Price]]</f>
        <v>0.90109289617486343</v>
      </c>
      <c r="CO14" s="15">
        <f>(Sales[[#This Row],[Unadj Total Value]]-Sales[[#This Row],[24Final]])/Sales[[#This Row],[24Final]]</f>
        <v>-7.4462114125350795E-2</v>
      </c>
      <c r="CP14">
        <f>VLOOKUP(Sales[[#This Row],[TNbhd]],Lookups!$M$2:$P$4,4,FALSE)</f>
        <v>0.97570000000000001</v>
      </c>
      <c r="CQ14">
        <f>VLOOKUP(Sales[[#This Row],[Qlty]],Lookups!$M$6:$P$20,4,FALSE)</f>
        <v>0.98809999999999998</v>
      </c>
      <c r="CR14">
        <f>VLOOKUP(Sales[[#This Row],[Cnd]],Lookups!$R$6:$U$15,4,FALSE)</f>
        <v>0.98370000000000002</v>
      </c>
      <c r="CS14">
        <f>VLOOKUP(Sales[[#This Row],[LivArea Range]],Lookups!$R$23:$U$39,4,FALSE)</f>
        <v>0.93310000000000004</v>
      </c>
      <c r="CT14">
        <f>VLOOKUP(Sales[[#This Row],[Decade]],Lookups!$M$23:$P$35,4,FALSE)</f>
        <v>0.99060000000000004</v>
      </c>
      <c r="CU14">
        <f>Sales[[#This Row],[Nbhd Adj]]*0.95</f>
        <v>0.92691499999999993</v>
      </c>
      <c r="CV14">
        <f>Sales[[#This Row],[Nbhd Adj]]*Sales[[#This Row],[Quality Adj]]*Sales[[#This Row],[Condition Adj]]*Sales[[#This Row],[Living Area Adj]]*Sales[[#This Row],[Decade Adj]]*0.95</f>
        <v>0.83277943893048667</v>
      </c>
      <c r="CW14">
        <f>ROUND(SUM(Sales[[#This Row],[Mdl Qlty]:[Mdl GarageArea]])+Sales[[#This Row],[Mdl Res Intercept]]*Sales[[#This Row],[Res Adj ]],-2)</f>
        <v>525000</v>
      </c>
      <c r="CX14">
        <f>ROUND(Sales[[#This Row],[25Det]]*Sales[[#This Row],[Det/Nbhd Adj]],-2)</f>
        <v>0</v>
      </c>
      <c r="CY14">
        <f>Sales[[#This Row],[Adjusted Res]]+Sales[[#This Row],[Adj Det ]]</f>
        <v>525000</v>
      </c>
      <c r="CZ14">
        <f>ROUND((Sales[[#This Row],[Mdl Land Intercept]]+Sales[[#This Row],[Mdl LnAcres]])*Sales[[#This Row],[Det/Nbhd Adj]],-2)</f>
        <v>54400</v>
      </c>
      <c r="DA14">
        <f>Sales[[#This Row],[Adjusted Impr Total]]+Sales[[#This Row],[Adjusted Land Total]]</f>
        <v>579400</v>
      </c>
      <c r="DB14">
        <f>IFERROR((Sales[[#This Row],[Adjusted Impr Total]]-Sales[[#This Row],[24Bldg]])/Sales[[#This Row],[24Bldg]],0)</f>
        <v>0.19671757465238204</v>
      </c>
      <c r="DC14">
        <f>(Sales[[#This Row],[Adjusted Land Total]]-Sales[[#This Row],[24Lnd]])/Sales[[#This Row],[24Lnd]]</f>
        <v>-0.43215031315240082</v>
      </c>
      <c r="DD14">
        <f>(Sales[[#This Row],[Adjusted Total]]-Sales[[#This Row],[24Final]])/Sales[[#This Row],[24Final]]</f>
        <v>8.4003741814780167E-2</v>
      </c>
      <c r="DE14">
        <f>(Sales[[#This Row],[Adjusted Total]]+Sales[[#This Row],[Days Prior Total]])/Sales[[#This Row],[Price]]</f>
        <v>0.86677173641165761</v>
      </c>
    </row>
    <row r="15" spans="1:109" x14ac:dyDescent="0.3">
      <c r="A15">
        <v>2025</v>
      </c>
      <c r="B15">
        <v>18131531427</v>
      </c>
      <c r="C15">
        <v>-4.6051701859880909</v>
      </c>
      <c r="D15">
        <v>0.01</v>
      </c>
      <c r="E15">
        <v>6000</v>
      </c>
      <c r="F15">
        <v>5</v>
      </c>
      <c r="G15" t="s">
        <v>89</v>
      </c>
      <c r="H15">
        <v>3041</v>
      </c>
      <c r="I15" t="s">
        <v>302</v>
      </c>
      <c r="J15" t="s">
        <v>26</v>
      </c>
      <c r="K15">
        <v>11</v>
      </c>
      <c r="L15">
        <v>331</v>
      </c>
      <c r="M15" t="s">
        <v>313</v>
      </c>
      <c r="N15" t="s">
        <v>50</v>
      </c>
      <c r="O15" t="s">
        <v>76</v>
      </c>
      <c r="P15">
        <v>2019</v>
      </c>
      <c r="Q15">
        <v>2019</v>
      </c>
      <c r="R15">
        <v>10</v>
      </c>
      <c r="S15">
        <v>5</v>
      </c>
      <c r="T15">
        <v>5</v>
      </c>
      <c r="U15">
        <v>1</v>
      </c>
      <c r="V15">
        <v>1973</v>
      </c>
      <c r="W15">
        <v>0</v>
      </c>
      <c r="X15">
        <v>0</v>
      </c>
      <c r="Y15">
        <v>0</v>
      </c>
      <c r="Z15">
        <v>0</v>
      </c>
      <c r="AA15">
        <v>0</v>
      </c>
      <c r="AB15">
        <v>1973</v>
      </c>
      <c r="AC15">
        <v>2000</v>
      </c>
      <c r="AD15">
        <v>2</v>
      </c>
      <c r="AE15" t="s">
        <v>132</v>
      </c>
      <c r="AF15" t="s">
        <v>153</v>
      </c>
      <c r="AG15" t="s">
        <v>111</v>
      </c>
      <c r="AI15">
        <v>0</v>
      </c>
      <c r="AJ15">
        <v>0</v>
      </c>
      <c r="AK15">
        <v>1</v>
      </c>
      <c r="AL15">
        <v>1</v>
      </c>
      <c r="AM15">
        <v>0</v>
      </c>
      <c r="AN15">
        <v>10</v>
      </c>
      <c r="AO15">
        <v>549</v>
      </c>
      <c r="AP15">
        <v>0</v>
      </c>
      <c r="AQ15">
        <v>549</v>
      </c>
      <c r="AR15">
        <v>0</v>
      </c>
      <c r="AS15">
        <v>0</v>
      </c>
      <c r="AT15">
        <v>0</v>
      </c>
      <c r="AU15">
        <v>0</v>
      </c>
      <c r="AV15">
        <v>100</v>
      </c>
      <c r="AW15">
        <v>100</v>
      </c>
      <c r="AX15">
        <v>475939</v>
      </c>
      <c r="AY15">
        <v>471180</v>
      </c>
      <c r="AZ15">
        <v>195</v>
      </c>
      <c r="BA15">
        <v>195</v>
      </c>
      <c r="BB15">
        <v>0</v>
      </c>
      <c r="BC15">
        <v>0</v>
      </c>
      <c r="BD15" s="6">
        <v>45097</v>
      </c>
      <c r="BE15" t="s">
        <v>292</v>
      </c>
      <c r="BF15">
        <v>649000</v>
      </c>
      <c r="BG15">
        <v>649000</v>
      </c>
      <c r="BH15" t="s">
        <v>198</v>
      </c>
      <c r="BI15">
        <v>30</v>
      </c>
      <c r="BJ15" t="s">
        <v>51</v>
      </c>
      <c r="BK15" t="s">
        <v>314</v>
      </c>
      <c r="BL15">
        <v>506300</v>
      </c>
      <c r="BM15">
        <v>48800</v>
      </c>
      <c r="BN15">
        <v>457500</v>
      </c>
      <c r="BO15">
        <v>0</v>
      </c>
      <c r="BP15">
        <v>0.78012326656394448</v>
      </c>
      <c r="BQ15">
        <v>517323.48087185743</v>
      </c>
      <c r="BR15">
        <v>548165.06360270618</v>
      </c>
      <c r="BS15" s="7">
        <f>(BR15-BL15)/BL15</f>
        <v>8.2688255190018142E-2</v>
      </c>
      <c r="BT15" s="14">
        <f>(Sales[[#This Row],[DP1]]*Lookups!$B$51)+(Sales[[#This Row],[DP2]]*Lookups!$B$52)+(Sales[[#This Row],[DP3]]*Lookups!$B$53)</f>
        <v>-30841.59</v>
      </c>
      <c r="BU15" s="14">
        <f>Lookups!$B$48*0.5</f>
        <v>87214.824999999997</v>
      </c>
      <c r="BV15" s="14">
        <f>Lookups!$B$48*0.5</f>
        <v>87214.824999999997</v>
      </c>
      <c r="BW15" s="14">
        <f>Lookups!$B$49*Sales[[#This Row],[LnAcres]]</f>
        <v>-115257.49021870131</v>
      </c>
      <c r="BX15" s="14">
        <f>VLOOKUP(Sales[[#This Row],[Qlty]],Lookups!$A$54:$E$67,2,FALSE)</f>
        <v>46722.525125</v>
      </c>
      <c r="BY15" s="14">
        <f>VLOOKUP(Sales[[#This Row],[Cnd]],Lookups!$A$68:$E$76,2,FALSE)</f>
        <v>133581.64413</v>
      </c>
      <c r="BZ15" s="14">
        <f>Sales[[#This Row],[Age]]*Lookups!$B$77</f>
        <v>922.56214999999997</v>
      </c>
      <c r="CA15" s="14">
        <f>Sales[[#This Row],[MainFn]]*Lookups!$B$78</f>
        <v>136301.66460700001</v>
      </c>
      <c r="CB15" s="14">
        <f>Sales[[#This Row],[UpprFn]]*Lookups!$B$79</f>
        <v>0</v>
      </c>
      <c r="CC15" s="14">
        <f>Sales[[#This Row],[AddFn]]*Lookups!$B$80</f>
        <v>0</v>
      </c>
      <c r="CD15" s="14">
        <f>Sales[[#This Row],[Bsmt]]*Lookups!$B$81</f>
        <v>0</v>
      </c>
      <c r="CE15" s="14">
        <f>Sales[[#This Row],[Fixtures]]*Lookups!$B$84</f>
        <v>101551</v>
      </c>
      <c r="CF15" s="14">
        <f>Sales[[#This Row],[MsnryFP]]*Lookups!$B$82</f>
        <v>0</v>
      </c>
      <c r="CG15" s="14">
        <f>Sales[[#This Row],[PrefabFP]]*Lookups!$B$83</f>
        <v>42091.021999999997</v>
      </c>
      <c r="CH15" s="14">
        <f>Sales[[#This Row],[GarageArea]]*Lookups!$B$85</f>
        <v>27822.494853</v>
      </c>
      <c r="CI15" s="14">
        <f>SUM(Sales[[#This Row],[Days Prior Total]:[Mdl GarageArea]])</f>
        <v>517323.48264629871</v>
      </c>
      <c r="CJ15" s="14">
        <f>ROUND(Sales[[#This Row],[25Det]],-2)</f>
        <v>0</v>
      </c>
      <c r="CK15" s="14">
        <f>ROUND(SUM(Sales[[#This Row],[Mdl Qlty]:[Mdl GarageArea]])+Sales[[#This Row],[Mdl Res Intercept]]+Sales[[#This Row],[Days Prior Total]],-2)</f>
        <v>545400</v>
      </c>
      <c r="CL15" s="14">
        <f>ROUND(Sales[[#This Row],[Mdl Land Intercept]]+Sales[[#This Row],[Mdl LnAcres]],-2)</f>
        <v>-28000</v>
      </c>
      <c r="CM15" s="14">
        <f>Sales[[#This Row],[Unadj Res Value]]+Sales[[#This Row],[Unadj Det Value]]+Sales[[#This Row],[Unadj Land Value]]</f>
        <v>517400</v>
      </c>
      <c r="CN15" s="15">
        <f>Sales[[#This Row],[Unadj Total Value]]/Sales[[#This Row],[Price]]</f>
        <v>0.79722650231124803</v>
      </c>
      <c r="CO15" s="15">
        <f>(Sales[[#This Row],[Unadj Total Value]]-Sales[[#This Row],[24Final]])/Sales[[#This Row],[24Final]]</f>
        <v>2.1923760616235435E-2</v>
      </c>
      <c r="CP15">
        <f>VLOOKUP(Sales[[#This Row],[TNbhd]],Lookups!$M$2:$P$4,4,FALSE)</f>
        <v>0.97570000000000001</v>
      </c>
      <c r="CQ15">
        <f>VLOOKUP(Sales[[#This Row],[Qlty]],Lookups!$M$6:$P$20,4,FALSE)</f>
        <v>0.98329999999999995</v>
      </c>
      <c r="CR15">
        <f>VLOOKUP(Sales[[#This Row],[Cnd]],Lookups!$R$6:$U$15,4,FALSE)</f>
        <v>0.98370000000000002</v>
      </c>
      <c r="CS15">
        <f>VLOOKUP(Sales[[#This Row],[LivArea Range]],Lookups!$R$23:$U$39,4,FALSE)</f>
        <v>0.99099999999999999</v>
      </c>
      <c r="CT15">
        <f>VLOOKUP(Sales[[#This Row],[Decade]],Lookups!$M$23:$P$35,4,FALSE)</f>
        <v>0.99060000000000004</v>
      </c>
      <c r="CU15">
        <f>Sales[[#This Row],[Nbhd Adj]]*0.95</f>
        <v>0.92691499999999993</v>
      </c>
      <c r="CV15">
        <f>Sales[[#This Row],[Nbhd Adj]]*Sales[[#This Row],[Quality Adj]]*Sales[[#This Row],[Condition Adj]]*Sales[[#This Row],[Living Area Adj]]*Sales[[#This Row],[Decade Adj]]*0.95</f>
        <v>0.88015791530795529</v>
      </c>
      <c r="CW15">
        <f>ROUND(SUM(Sales[[#This Row],[Mdl Qlty]:[Mdl GarageArea]])+Sales[[#This Row],[Mdl Res Intercept]]*Sales[[#This Row],[Res Adj ]],-2)</f>
        <v>565800</v>
      </c>
      <c r="CX15">
        <f>ROUND(Sales[[#This Row],[25Det]]*Sales[[#This Row],[Det/Nbhd Adj]],-2)</f>
        <v>0</v>
      </c>
      <c r="CY15">
        <f>Sales[[#This Row],[Adjusted Res]]+Sales[[#This Row],[Adj Det ]]</f>
        <v>565800</v>
      </c>
      <c r="CZ15">
        <f>ROUND((Sales[[#This Row],[Mdl Land Intercept]]+Sales[[#This Row],[Mdl LnAcres]])*Sales[[#This Row],[Det/Nbhd Adj]],-2)</f>
        <v>-26000</v>
      </c>
      <c r="DA15">
        <f>Sales[[#This Row],[Adjusted Impr Total]]+Sales[[#This Row],[Adjusted Land Total]]</f>
        <v>539800</v>
      </c>
      <c r="DB15">
        <f>IFERROR((Sales[[#This Row],[Adjusted Impr Total]]-Sales[[#This Row],[24Bldg]])/Sales[[#This Row],[24Bldg]],0)</f>
        <v>0.23672131147540984</v>
      </c>
      <c r="DC15">
        <f>(Sales[[#This Row],[Adjusted Land Total]]-Sales[[#This Row],[24Lnd]])/Sales[[#This Row],[24Lnd]]</f>
        <v>-1.5327868852459017</v>
      </c>
      <c r="DD15">
        <f>(Sales[[#This Row],[Adjusted Total]]-Sales[[#This Row],[24Final]])/Sales[[#This Row],[24Final]]</f>
        <v>6.6166304562512351E-2</v>
      </c>
      <c r="DE15">
        <f>(Sales[[#This Row],[Adjusted Total]]+Sales[[#This Row],[Days Prior Total]])/Sales[[#This Row],[Price]]</f>
        <v>0.78421942989214166</v>
      </c>
    </row>
    <row r="16" spans="1:109" x14ac:dyDescent="0.3">
      <c r="A16">
        <v>2025</v>
      </c>
      <c r="B16">
        <v>18131743455</v>
      </c>
      <c r="C16">
        <v>-1.5141277326297755</v>
      </c>
      <c r="D16">
        <v>0.22</v>
      </c>
      <c r="E16">
        <v>9733</v>
      </c>
      <c r="F16">
        <v>1</v>
      </c>
      <c r="G16" t="s">
        <v>89</v>
      </c>
      <c r="H16">
        <v>3041</v>
      </c>
      <c r="I16" t="s">
        <v>302</v>
      </c>
      <c r="J16" t="s">
        <v>110</v>
      </c>
      <c r="K16">
        <v>11</v>
      </c>
      <c r="L16">
        <v>259</v>
      </c>
      <c r="M16" t="s">
        <v>204</v>
      </c>
      <c r="N16" t="s">
        <v>50</v>
      </c>
      <c r="O16" t="s">
        <v>76</v>
      </c>
      <c r="P16">
        <v>2019</v>
      </c>
      <c r="Q16">
        <v>2019</v>
      </c>
      <c r="R16">
        <v>10</v>
      </c>
      <c r="S16">
        <v>5</v>
      </c>
      <c r="T16">
        <v>5</v>
      </c>
      <c r="U16">
        <v>1</v>
      </c>
      <c r="V16">
        <v>2560</v>
      </c>
      <c r="W16">
        <v>0</v>
      </c>
      <c r="X16">
        <v>0</v>
      </c>
      <c r="Y16">
        <v>0</v>
      </c>
      <c r="Z16">
        <v>0</v>
      </c>
      <c r="AA16">
        <v>0</v>
      </c>
      <c r="AB16">
        <v>2560</v>
      </c>
      <c r="AC16">
        <v>3000</v>
      </c>
      <c r="AD16">
        <v>3</v>
      </c>
      <c r="AF16" t="s">
        <v>275</v>
      </c>
      <c r="AG16" t="s">
        <v>111</v>
      </c>
      <c r="AH16" t="s">
        <v>314</v>
      </c>
      <c r="AI16">
        <v>0</v>
      </c>
      <c r="AJ16">
        <v>0</v>
      </c>
      <c r="AK16">
        <v>1</v>
      </c>
      <c r="AL16">
        <v>0</v>
      </c>
      <c r="AM16">
        <v>1</v>
      </c>
      <c r="AN16">
        <v>14</v>
      </c>
      <c r="AO16">
        <v>900</v>
      </c>
      <c r="AP16">
        <v>0</v>
      </c>
      <c r="AQ16">
        <v>900</v>
      </c>
      <c r="AR16">
        <v>0</v>
      </c>
      <c r="AS16">
        <v>0</v>
      </c>
      <c r="AT16">
        <v>336</v>
      </c>
      <c r="AU16">
        <v>336</v>
      </c>
      <c r="AV16">
        <v>100</v>
      </c>
      <c r="AW16">
        <v>100</v>
      </c>
      <c r="AX16">
        <v>582612</v>
      </c>
      <c r="AY16">
        <v>576786</v>
      </c>
      <c r="AZ16">
        <v>614</v>
      </c>
      <c r="BA16">
        <v>365</v>
      </c>
      <c r="BB16">
        <v>249</v>
      </c>
      <c r="BC16">
        <v>0</v>
      </c>
      <c r="BD16" s="6">
        <v>44678</v>
      </c>
      <c r="BE16" t="s">
        <v>248</v>
      </c>
      <c r="BF16">
        <v>607000</v>
      </c>
      <c r="BG16">
        <v>607000</v>
      </c>
      <c r="BH16" t="s">
        <v>198</v>
      </c>
      <c r="BI16">
        <v>30</v>
      </c>
      <c r="BJ16" t="s">
        <v>51</v>
      </c>
      <c r="BK16" t="s">
        <v>314</v>
      </c>
      <c r="BL16">
        <v>593300</v>
      </c>
      <c r="BM16">
        <v>74500</v>
      </c>
      <c r="BN16">
        <v>518800</v>
      </c>
      <c r="BO16">
        <v>0</v>
      </c>
      <c r="BP16">
        <v>0.97742998352553545</v>
      </c>
      <c r="BQ16">
        <v>690449.61552652041</v>
      </c>
      <c r="BR16">
        <v>724487.74000849086</v>
      </c>
      <c r="BS16" s="7">
        <f>(BR16-BL16)/BL16</f>
        <v>0.22111535480952446</v>
      </c>
      <c r="BT16" s="14">
        <f>(Sales[[#This Row],[DP1]]*Lookups!$B$51)+(Sales[[#This Row],[DP2]]*Lookups!$B$52)+(Sales[[#This Row],[DP3]]*Lookups!$B$53)</f>
        <v>-34038.138046000007</v>
      </c>
      <c r="BU16" s="14">
        <f>Lookups!$B$48*0.5</f>
        <v>87214.824999999997</v>
      </c>
      <c r="BV16" s="14">
        <f>Lookups!$B$48*0.5</f>
        <v>87214.824999999997</v>
      </c>
      <c r="BW16" s="14">
        <f>Lookups!$B$49*Sales[[#This Row],[LnAcres]]</f>
        <v>-37895.355716587197</v>
      </c>
      <c r="BX16" s="14">
        <f>VLOOKUP(Sales[[#This Row],[Qlty]],Lookups!$A$54:$E$67,2,FALSE)</f>
        <v>46722.525125</v>
      </c>
      <c r="BY16" s="14">
        <f>VLOOKUP(Sales[[#This Row],[Cnd]],Lookups!$A$68:$E$76,2,FALSE)</f>
        <v>133581.64413</v>
      </c>
      <c r="BZ16" s="14">
        <f>Sales[[#This Row],[Age]]*Lookups!$B$77</f>
        <v>922.56214999999997</v>
      </c>
      <c r="CA16" s="14">
        <f>Sales[[#This Row],[MainFn]]*Lookups!$B$78</f>
        <v>176853.65504000001</v>
      </c>
      <c r="CB16" s="14">
        <f>Sales[[#This Row],[UpprFn]]*Lookups!$B$79</f>
        <v>0</v>
      </c>
      <c r="CC16" s="14">
        <f>Sales[[#This Row],[AddFn]]*Lookups!$B$80</f>
        <v>0</v>
      </c>
      <c r="CD16" s="14">
        <f>Sales[[#This Row],[Bsmt]]*Lookups!$B$81</f>
        <v>0</v>
      </c>
      <c r="CE16" s="14">
        <f>Sales[[#This Row],[Fixtures]]*Lookups!$B$84</f>
        <v>142171.4</v>
      </c>
      <c r="CF16" s="14">
        <f>Sales[[#This Row],[MsnryFP]]*Lookups!$B$82</f>
        <v>0</v>
      </c>
      <c r="CG16" s="14">
        <f>Sales[[#This Row],[PrefabFP]]*Lookups!$B$83</f>
        <v>42091.021999999997</v>
      </c>
      <c r="CH16" s="14">
        <f>Sales[[#This Row],[GarageArea]]*Lookups!$B$85</f>
        <v>45610.647299999997</v>
      </c>
      <c r="CI16" s="14">
        <f>SUM(Sales[[#This Row],[Days Prior Total]:[Mdl GarageArea]])</f>
        <v>690449.61198241275</v>
      </c>
      <c r="CJ16" s="14">
        <f>ROUND(Sales[[#This Row],[25Det]],-2)</f>
        <v>0</v>
      </c>
      <c r="CK16" s="14">
        <f>ROUND(SUM(Sales[[#This Row],[Mdl Qlty]:[Mdl GarageArea]])+Sales[[#This Row],[Mdl Res Intercept]]+Sales[[#This Row],[Days Prior Total]],-2)</f>
        <v>641100</v>
      </c>
      <c r="CL16" s="14">
        <f>ROUND(Sales[[#This Row],[Mdl Land Intercept]]+Sales[[#This Row],[Mdl LnAcres]],-2)</f>
        <v>49300</v>
      </c>
      <c r="CM16" s="14">
        <f>Sales[[#This Row],[Unadj Res Value]]+Sales[[#This Row],[Unadj Det Value]]+Sales[[#This Row],[Unadj Land Value]]</f>
        <v>690400</v>
      </c>
      <c r="CN16" s="15">
        <f>Sales[[#This Row],[Unadj Total Value]]/Sales[[#This Row],[Price]]</f>
        <v>1.1373970345963755</v>
      </c>
      <c r="CO16" s="15">
        <f>(Sales[[#This Row],[Unadj Total Value]]-Sales[[#This Row],[24Final]])/Sales[[#This Row],[24Final]]</f>
        <v>0.16366087982470925</v>
      </c>
      <c r="CP16">
        <f>VLOOKUP(Sales[[#This Row],[TNbhd]],Lookups!$M$2:$P$4,4,FALSE)</f>
        <v>0.97570000000000001</v>
      </c>
      <c r="CQ16">
        <f>VLOOKUP(Sales[[#This Row],[Qlty]],Lookups!$M$6:$P$20,4,FALSE)</f>
        <v>0.98329999999999995</v>
      </c>
      <c r="CR16">
        <f>VLOOKUP(Sales[[#This Row],[Cnd]],Lookups!$R$6:$U$15,4,FALSE)</f>
        <v>0.98370000000000002</v>
      </c>
      <c r="CS16">
        <f>VLOOKUP(Sales[[#This Row],[LivArea Range]],Lookups!$R$23:$U$39,4,FALSE)</f>
        <v>0.93310000000000004</v>
      </c>
      <c r="CT16">
        <f>VLOOKUP(Sales[[#This Row],[Decade]],Lookups!$M$23:$P$35,4,FALSE)</f>
        <v>0.99060000000000004</v>
      </c>
      <c r="CU16">
        <f>Sales[[#This Row],[Nbhd Adj]]*0.95</f>
        <v>0.92691499999999993</v>
      </c>
      <c r="CV16">
        <f>Sales[[#This Row],[Nbhd Adj]]*Sales[[#This Row],[Quality Adj]]*Sales[[#This Row],[Condition Adj]]*Sales[[#This Row],[Living Area Adj]]*Sales[[#This Row],[Decade Adj]]*0.95</f>
        <v>0.82873395638128478</v>
      </c>
      <c r="CW16">
        <f>ROUND(SUM(Sales[[#This Row],[Mdl Qlty]:[Mdl GarageArea]])+Sales[[#This Row],[Mdl Res Intercept]]*Sales[[#This Row],[Res Adj ]],-2)</f>
        <v>660200</v>
      </c>
      <c r="CX16">
        <f>ROUND(Sales[[#This Row],[25Det]]*Sales[[#This Row],[Det/Nbhd Adj]],-2)</f>
        <v>0</v>
      </c>
      <c r="CY16">
        <f>Sales[[#This Row],[Adjusted Res]]+Sales[[#This Row],[Adj Det ]]</f>
        <v>660200</v>
      </c>
      <c r="CZ16">
        <f>ROUND((Sales[[#This Row],[Mdl Land Intercept]]+Sales[[#This Row],[Mdl LnAcres]])*Sales[[#This Row],[Det/Nbhd Adj]],-2)</f>
        <v>45700</v>
      </c>
      <c r="DA16">
        <f>Sales[[#This Row],[Adjusted Impr Total]]+Sales[[#This Row],[Adjusted Land Total]]</f>
        <v>705900</v>
      </c>
      <c r="DB16">
        <f>IFERROR((Sales[[#This Row],[Adjusted Impr Total]]-Sales[[#This Row],[24Bldg]])/Sales[[#This Row],[24Bldg]],0)</f>
        <v>0.27255204317656129</v>
      </c>
      <c r="DC16">
        <f>(Sales[[#This Row],[Adjusted Land Total]]-Sales[[#This Row],[24Lnd]])/Sales[[#This Row],[24Lnd]]</f>
        <v>-0.38657718120805368</v>
      </c>
      <c r="DD16">
        <f>(Sales[[#This Row],[Adjusted Total]]-Sales[[#This Row],[24Final]])/Sales[[#This Row],[24Final]]</f>
        <v>0.18978594303050733</v>
      </c>
      <c r="DE16">
        <f>(Sales[[#This Row],[Adjusted Total]]+Sales[[#This Row],[Days Prior Total]])/Sales[[#This Row],[Price]]</f>
        <v>1.1068564447347611</v>
      </c>
    </row>
    <row r="17" spans="1:109" x14ac:dyDescent="0.3">
      <c r="A17">
        <v>2025</v>
      </c>
      <c r="B17">
        <v>18131733456</v>
      </c>
      <c r="C17">
        <v>-0.67334455326376563</v>
      </c>
      <c r="D17">
        <v>0.51</v>
      </c>
      <c r="E17">
        <v>22129</v>
      </c>
      <c r="F17">
        <v>1</v>
      </c>
      <c r="G17" t="s">
        <v>89</v>
      </c>
      <c r="H17" t="s">
        <v>203</v>
      </c>
      <c r="I17" t="s">
        <v>302</v>
      </c>
      <c r="J17" t="s">
        <v>110</v>
      </c>
      <c r="K17">
        <v>11</v>
      </c>
      <c r="L17">
        <v>331</v>
      </c>
      <c r="M17" t="s">
        <v>313</v>
      </c>
      <c r="N17" t="s">
        <v>230</v>
      </c>
      <c r="O17" t="s">
        <v>76</v>
      </c>
      <c r="P17">
        <v>2019</v>
      </c>
      <c r="Q17">
        <v>2019</v>
      </c>
      <c r="R17">
        <v>10</v>
      </c>
      <c r="S17">
        <v>5</v>
      </c>
      <c r="T17">
        <v>5</v>
      </c>
      <c r="U17">
        <v>2</v>
      </c>
      <c r="V17">
        <v>2362</v>
      </c>
      <c r="W17">
        <v>1374</v>
      </c>
      <c r="X17">
        <v>0</v>
      </c>
      <c r="Y17">
        <v>0</v>
      </c>
      <c r="Z17">
        <v>0</v>
      </c>
      <c r="AA17">
        <v>0</v>
      </c>
      <c r="AB17">
        <v>3736</v>
      </c>
      <c r="AC17">
        <v>4000</v>
      </c>
      <c r="AD17">
        <v>4</v>
      </c>
      <c r="AE17" t="s">
        <v>132</v>
      </c>
      <c r="AF17" t="s">
        <v>275</v>
      </c>
      <c r="AG17" t="s">
        <v>111</v>
      </c>
      <c r="AH17" t="s">
        <v>314</v>
      </c>
      <c r="AI17">
        <v>0</v>
      </c>
      <c r="AJ17">
        <v>0</v>
      </c>
      <c r="AK17">
        <v>1</v>
      </c>
      <c r="AL17">
        <v>2</v>
      </c>
      <c r="AM17">
        <v>1</v>
      </c>
      <c r="AN17">
        <v>21</v>
      </c>
      <c r="AO17">
        <v>912</v>
      </c>
      <c r="AP17">
        <v>0</v>
      </c>
      <c r="AQ17">
        <v>912</v>
      </c>
      <c r="AR17">
        <v>0</v>
      </c>
      <c r="AS17">
        <v>0</v>
      </c>
      <c r="AT17">
        <v>547</v>
      </c>
      <c r="AU17">
        <v>96</v>
      </c>
      <c r="AV17">
        <v>100</v>
      </c>
      <c r="AW17">
        <v>100</v>
      </c>
      <c r="AX17">
        <v>1565929</v>
      </c>
      <c r="AY17">
        <v>1550270</v>
      </c>
      <c r="AZ17">
        <v>875</v>
      </c>
      <c r="BA17">
        <v>365</v>
      </c>
      <c r="BB17">
        <v>365</v>
      </c>
      <c r="BC17">
        <v>145</v>
      </c>
      <c r="BD17" s="6">
        <v>44417</v>
      </c>
      <c r="BE17" t="s">
        <v>183</v>
      </c>
      <c r="BF17">
        <v>1400000</v>
      </c>
      <c r="BG17">
        <v>1400000</v>
      </c>
      <c r="BH17" t="s">
        <v>198</v>
      </c>
      <c r="BI17">
        <v>30</v>
      </c>
      <c r="BJ17" t="s">
        <v>51</v>
      </c>
      <c r="BK17" t="s">
        <v>314</v>
      </c>
      <c r="BL17">
        <v>1435400</v>
      </c>
      <c r="BM17">
        <v>120000</v>
      </c>
      <c r="BN17">
        <v>1315400</v>
      </c>
      <c r="BO17">
        <v>0</v>
      </c>
      <c r="BP17">
        <v>1.0252857142857144</v>
      </c>
      <c r="BQ17">
        <v>1292385.9896926833</v>
      </c>
      <c r="BR17">
        <v>1360132.3238506606</v>
      </c>
      <c r="BS17" s="7">
        <f>(BR17-BL17)/BL17</f>
        <v>-5.2436725755426648E-2</v>
      </c>
      <c r="BT17" s="14">
        <f>(Sales[[#This Row],[DP1]]*Lookups!$B$51)+(Sales[[#This Row],[DP2]]*Lookups!$B$52)+(Sales[[#This Row],[DP3]]*Lookups!$B$53)</f>
        <v>-67746.340710000004</v>
      </c>
      <c r="BU17" s="14">
        <f>Lookups!$B$48*0.5</f>
        <v>87214.824999999997</v>
      </c>
      <c r="BV17" s="14">
        <f>Lookups!$B$48*0.5</f>
        <v>87214.824999999997</v>
      </c>
      <c r="BW17" s="14">
        <f>Lookups!$B$49*Sales[[#This Row],[LnAcres]]</f>
        <v>-16852.363784024325</v>
      </c>
      <c r="BX17" s="14">
        <f>VLOOKUP(Sales[[#This Row],[Qlty]],Lookups!$A$54:$E$67,2,FALSE)</f>
        <v>519241.74659</v>
      </c>
      <c r="BY17" s="14">
        <f>VLOOKUP(Sales[[#This Row],[Cnd]],Lookups!$A$68:$E$76,2,FALSE)</f>
        <v>133581.64413</v>
      </c>
      <c r="BZ17" s="14">
        <f>Sales[[#This Row],[Age]]*Lookups!$B$77</f>
        <v>922.56214999999997</v>
      </c>
      <c r="CA17" s="14">
        <f>Sales[[#This Row],[MainFn]]*Lookups!$B$78</f>
        <v>163175.13015800001</v>
      </c>
      <c r="CB17" s="14">
        <f>Sales[[#This Row],[UpprFn]]*Lookups!$B$79</f>
        <v>84067.056450000004</v>
      </c>
      <c r="CC17" s="14">
        <f>Sales[[#This Row],[AddFn]]*Lookups!$B$80</f>
        <v>0</v>
      </c>
      <c r="CD17" s="14">
        <f>Sales[[#This Row],[Bsmt]]*Lookups!$B$81</f>
        <v>0</v>
      </c>
      <c r="CE17" s="14">
        <f>Sales[[#This Row],[Fixtures]]*Lookups!$B$84</f>
        <v>213257.1</v>
      </c>
      <c r="CF17" s="14">
        <f>Sales[[#This Row],[MsnryFP]]*Lookups!$B$82</f>
        <v>0</v>
      </c>
      <c r="CG17" s="14">
        <f>Sales[[#This Row],[PrefabFP]]*Lookups!$B$83</f>
        <v>42091.021999999997</v>
      </c>
      <c r="CH17" s="14">
        <f>Sales[[#This Row],[GarageArea]]*Lookups!$B$85</f>
        <v>46218.789263999999</v>
      </c>
      <c r="CI17" s="14">
        <f>SUM(Sales[[#This Row],[Days Prior Total]:[Mdl GarageArea]])</f>
        <v>1292385.9962479756</v>
      </c>
      <c r="CJ17" s="14">
        <f>ROUND(Sales[[#This Row],[25Det]],-2)</f>
        <v>0</v>
      </c>
      <c r="CK17" s="14">
        <f>ROUND(SUM(Sales[[#This Row],[Mdl Qlty]:[Mdl GarageArea]])+Sales[[#This Row],[Mdl Res Intercept]]+Sales[[#This Row],[Days Prior Total]],-2)</f>
        <v>1222000</v>
      </c>
      <c r="CL17" s="14">
        <f>ROUND(Sales[[#This Row],[Mdl Land Intercept]]+Sales[[#This Row],[Mdl LnAcres]],-2)</f>
        <v>70400</v>
      </c>
      <c r="CM17" s="14">
        <f>Sales[[#This Row],[Unadj Res Value]]+Sales[[#This Row],[Unadj Det Value]]+Sales[[#This Row],[Unadj Land Value]]</f>
        <v>1292400</v>
      </c>
      <c r="CN17" s="15">
        <f>Sales[[#This Row],[Unadj Total Value]]/Sales[[#This Row],[Price]]</f>
        <v>0.92314285714285715</v>
      </c>
      <c r="CO17" s="15">
        <f>(Sales[[#This Row],[Unadj Total Value]]-Sales[[#This Row],[24Final]])/Sales[[#This Row],[24Final]]</f>
        <v>-9.9623798244391812E-2</v>
      </c>
      <c r="CP17">
        <f>VLOOKUP(Sales[[#This Row],[TNbhd]],Lookups!$M$2:$P$4,4,FALSE)</f>
        <v>0.97570000000000001</v>
      </c>
      <c r="CQ17">
        <f>VLOOKUP(Sales[[#This Row],[Qlty]],Lookups!$M$6:$P$20,4,FALSE)</f>
        <v>0.99960000000000004</v>
      </c>
      <c r="CR17">
        <f>VLOOKUP(Sales[[#This Row],[Cnd]],Lookups!$R$6:$U$15,4,FALSE)</f>
        <v>0.98370000000000002</v>
      </c>
      <c r="CS17">
        <f>VLOOKUP(Sales[[#This Row],[LivArea Range]],Lookups!$R$23:$U$39,4,FALSE)</f>
        <v>1.034</v>
      </c>
      <c r="CT17">
        <f>VLOOKUP(Sales[[#This Row],[Decade]],Lookups!$M$23:$P$35,4,FALSE)</f>
        <v>0.99060000000000004</v>
      </c>
      <c r="CU17">
        <f>Sales[[#This Row],[Nbhd Adj]]*0.95</f>
        <v>0.92691499999999993</v>
      </c>
      <c r="CV17">
        <f>Sales[[#This Row],[Nbhd Adj]]*Sales[[#This Row],[Quality Adj]]*Sales[[#This Row],[Condition Adj]]*Sales[[#This Row],[Living Area Adj]]*Sales[[#This Row],[Decade Adj]]*0.95</f>
        <v>0.93357172871172045</v>
      </c>
      <c r="CW17">
        <f>ROUND(SUM(Sales[[#This Row],[Mdl Qlty]:[Mdl GarageArea]])+Sales[[#This Row],[Mdl Res Intercept]]*Sales[[#This Row],[Res Adj ]],-2)</f>
        <v>1284000</v>
      </c>
      <c r="CX17">
        <f>ROUND(Sales[[#This Row],[25Det]]*Sales[[#This Row],[Det/Nbhd Adj]],-2)</f>
        <v>0</v>
      </c>
      <c r="CY17">
        <f>Sales[[#This Row],[Adjusted Res]]+Sales[[#This Row],[Adj Det ]]</f>
        <v>1284000</v>
      </c>
      <c r="CZ17">
        <f>ROUND((Sales[[#This Row],[Mdl Land Intercept]]+Sales[[#This Row],[Mdl LnAcres]])*Sales[[#This Row],[Det/Nbhd Adj]],-2)</f>
        <v>65200</v>
      </c>
      <c r="DA17">
        <f>Sales[[#This Row],[Adjusted Impr Total]]+Sales[[#This Row],[Adjusted Land Total]]</f>
        <v>1349200</v>
      </c>
      <c r="DB17">
        <f>IFERROR((Sales[[#This Row],[Adjusted Impr Total]]-Sales[[#This Row],[24Bldg]])/Sales[[#This Row],[24Bldg]],0)</f>
        <v>-2.3871065835487305E-2</v>
      </c>
      <c r="DC17">
        <f>(Sales[[#This Row],[Adjusted Land Total]]-Sales[[#This Row],[24Lnd]])/Sales[[#This Row],[24Lnd]]</f>
        <v>-0.45666666666666667</v>
      </c>
      <c r="DD17">
        <f>(Sales[[#This Row],[Adjusted Total]]-Sales[[#This Row],[24Final]])/Sales[[#This Row],[24Final]]</f>
        <v>-6.0052946913752264E-2</v>
      </c>
      <c r="DE17">
        <f>(Sales[[#This Row],[Adjusted Total]]+Sales[[#This Row],[Days Prior Total]])/Sales[[#This Row],[Price]]</f>
        <v>0.91532404235000009</v>
      </c>
    </row>
    <row r="18" spans="1:109" x14ac:dyDescent="0.3">
      <c r="A18">
        <v>2025</v>
      </c>
      <c r="B18">
        <v>18131923415</v>
      </c>
      <c r="C18">
        <v>-0.65392646740666394</v>
      </c>
      <c r="D18">
        <v>0.52</v>
      </c>
      <c r="E18">
        <v>22783</v>
      </c>
      <c r="F18">
        <v>1</v>
      </c>
      <c r="G18" t="s">
        <v>89</v>
      </c>
      <c r="H18" t="s">
        <v>203</v>
      </c>
      <c r="I18" t="s">
        <v>302</v>
      </c>
      <c r="J18" t="s">
        <v>26</v>
      </c>
      <c r="K18">
        <v>11</v>
      </c>
      <c r="L18">
        <v>259</v>
      </c>
      <c r="M18" t="s">
        <v>204</v>
      </c>
      <c r="N18" t="s">
        <v>189</v>
      </c>
      <c r="O18" t="s">
        <v>76</v>
      </c>
      <c r="P18">
        <v>2018</v>
      </c>
      <c r="Q18">
        <v>2018</v>
      </c>
      <c r="R18">
        <v>10</v>
      </c>
      <c r="S18">
        <v>6</v>
      </c>
      <c r="T18">
        <v>6</v>
      </c>
      <c r="U18">
        <v>1</v>
      </c>
      <c r="V18">
        <v>3272</v>
      </c>
      <c r="W18">
        <v>0</v>
      </c>
      <c r="X18">
        <v>0</v>
      </c>
      <c r="Y18">
        <v>0</v>
      </c>
      <c r="Z18">
        <v>0</v>
      </c>
      <c r="AA18">
        <v>0</v>
      </c>
      <c r="AB18">
        <v>3272</v>
      </c>
      <c r="AC18">
        <v>3500</v>
      </c>
      <c r="AD18">
        <v>3</v>
      </c>
      <c r="AE18" t="s">
        <v>132</v>
      </c>
      <c r="AF18" t="s">
        <v>275</v>
      </c>
      <c r="AG18" t="s">
        <v>111</v>
      </c>
      <c r="AH18" t="s">
        <v>314</v>
      </c>
      <c r="AI18">
        <v>0</v>
      </c>
      <c r="AJ18">
        <v>0</v>
      </c>
      <c r="AK18">
        <v>1</v>
      </c>
      <c r="AL18">
        <v>3</v>
      </c>
      <c r="AM18">
        <v>0</v>
      </c>
      <c r="AN18">
        <v>17</v>
      </c>
      <c r="AO18">
        <v>1560</v>
      </c>
      <c r="AP18">
        <v>0</v>
      </c>
      <c r="AQ18">
        <v>1560</v>
      </c>
      <c r="AR18">
        <v>0</v>
      </c>
      <c r="AS18">
        <v>0</v>
      </c>
      <c r="AT18">
        <v>0</v>
      </c>
      <c r="AU18">
        <v>0</v>
      </c>
      <c r="AV18">
        <v>100</v>
      </c>
      <c r="AW18">
        <v>100</v>
      </c>
      <c r="AX18">
        <v>894760</v>
      </c>
      <c r="AY18">
        <v>921603</v>
      </c>
      <c r="AZ18">
        <v>455</v>
      </c>
      <c r="BA18">
        <v>365</v>
      </c>
      <c r="BB18">
        <v>90</v>
      </c>
      <c r="BC18">
        <v>0</v>
      </c>
      <c r="BD18" s="6">
        <v>44837</v>
      </c>
      <c r="BE18" t="s">
        <v>69</v>
      </c>
      <c r="BF18">
        <v>917000</v>
      </c>
      <c r="BG18">
        <v>917000</v>
      </c>
      <c r="BH18" t="s">
        <v>198</v>
      </c>
      <c r="BI18">
        <v>30</v>
      </c>
      <c r="BJ18" t="s">
        <v>51</v>
      </c>
      <c r="BK18" t="s">
        <v>314</v>
      </c>
      <c r="BL18">
        <v>713100</v>
      </c>
      <c r="BM18">
        <v>123400</v>
      </c>
      <c r="BN18">
        <v>589700</v>
      </c>
      <c r="BO18">
        <v>0</v>
      </c>
      <c r="BP18">
        <v>0.77764449291166848</v>
      </c>
      <c r="BQ18">
        <v>905137.23675760441</v>
      </c>
      <c r="BR18">
        <v>954303.34402654448</v>
      </c>
      <c r="BS18" s="7">
        <f>(BR18-BL18)/BL18</f>
        <v>0.33824617027982679</v>
      </c>
      <c r="BT18" s="14">
        <f>(Sales[[#This Row],[DP1]]*Lookups!$B$51)+(Sales[[#This Row],[DP2]]*Lookups!$B$52)+(Sales[[#This Row],[DP3]]*Lookups!$B$53)</f>
        <v>-49166.120860000003</v>
      </c>
      <c r="BU18" s="14">
        <f>Lookups!$B$48*0.5</f>
        <v>87214.824999999997</v>
      </c>
      <c r="BV18" s="14">
        <f>Lookups!$B$48*0.5</f>
        <v>87214.824999999997</v>
      </c>
      <c r="BW18" s="14">
        <f>Lookups!$B$49*Sales[[#This Row],[LnAcres]]</f>
        <v>-16366.370921578005</v>
      </c>
      <c r="BX18" s="14">
        <f>VLOOKUP(Sales[[#This Row],[Qlty]],Lookups!$A$54:$E$67,2,FALSE)</f>
        <v>141724.10243</v>
      </c>
      <c r="BY18" s="14">
        <f>VLOOKUP(Sales[[#This Row],[Cnd]],Lookups!$A$68:$E$76,2,FALSE)</f>
        <v>133581.64413</v>
      </c>
      <c r="BZ18" s="14">
        <f>Sales[[#This Row],[Age]]*Lookups!$B$77</f>
        <v>1107.07458</v>
      </c>
      <c r="CA18" s="14">
        <f>Sales[[#This Row],[MainFn]]*Lookups!$B$78</f>
        <v>226041.07784800002</v>
      </c>
      <c r="CB18" s="14">
        <f>Sales[[#This Row],[UpprFn]]*Lookups!$B$79</f>
        <v>0</v>
      </c>
      <c r="CC18" s="14">
        <f>Sales[[#This Row],[AddFn]]*Lookups!$B$80</f>
        <v>0</v>
      </c>
      <c r="CD18" s="14">
        <f>Sales[[#This Row],[Bsmt]]*Lookups!$B$81</f>
        <v>0</v>
      </c>
      <c r="CE18" s="14">
        <f>Sales[[#This Row],[Fixtures]]*Lookups!$B$84</f>
        <v>172636.7</v>
      </c>
      <c r="CF18" s="14">
        <f>Sales[[#This Row],[MsnryFP]]*Lookups!$B$82</f>
        <v>0</v>
      </c>
      <c r="CG18" s="14">
        <f>Sales[[#This Row],[PrefabFP]]*Lookups!$B$83</f>
        <v>42091.021999999997</v>
      </c>
      <c r="CH18" s="14">
        <f>Sales[[#This Row],[GarageArea]]*Lookups!$B$85</f>
        <v>79058.455319999994</v>
      </c>
      <c r="CI18" s="14">
        <f>SUM(Sales[[#This Row],[Days Prior Total]:[Mdl GarageArea]])</f>
        <v>905137.23452642199</v>
      </c>
      <c r="CJ18" s="14">
        <f>ROUND(Sales[[#This Row],[25Det]],-2)</f>
        <v>0</v>
      </c>
      <c r="CK18" s="14">
        <f>ROUND(SUM(Sales[[#This Row],[Mdl Qlty]:[Mdl GarageArea]])+Sales[[#This Row],[Mdl Res Intercept]]+Sales[[#This Row],[Days Prior Total]],-2)</f>
        <v>834300</v>
      </c>
      <c r="CL18" s="14">
        <f>ROUND(Sales[[#This Row],[Mdl Land Intercept]]+Sales[[#This Row],[Mdl LnAcres]],-2)</f>
        <v>70800</v>
      </c>
      <c r="CM18" s="14">
        <f>Sales[[#This Row],[Unadj Res Value]]+Sales[[#This Row],[Unadj Det Value]]+Sales[[#This Row],[Unadj Land Value]]</f>
        <v>905100</v>
      </c>
      <c r="CN18" s="15">
        <f>Sales[[#This Row],[Unadj Total Value]]/Sales[[#This Row],[Price]]</f>
        <v>0.98702290076335875</v>
      </c>
      <c r="CO18" s="15">
        <f>(Sales[[#This Row],[Unadj Total Value]]-Sales[[#This Row],[24Final]])/Sales[[#This Row],[24Final]]</f>
        <v>0.26924694993689524</v>
      </c>
      <c r="CP18">
        <f>VLOOKUP(Sales[[#This Row],[TNbhd]],Lookups!$M$2:$P$4,4,FALSE)</f>
        <v>0.97570000000000001</v>
      </c>
      <c r="CQ18">
        <f>VLOOKUP(Sales[[#This Row],[Qlty]],Lookups!$M$6:$P$20,4,FALSE)</f>
        <v>1.0051000000000001</v>
      </c>
      <c r="CR18">
        <f>VLOOKUP(Sales[[#This Row],[Cnd]],Lookups!$R$6:$U$15,4,FALSE)</f>
        <v>0.98370000000000002</v>
      </c>
      <c r="CS18">
        <f>VLOOKUP(Sales[[#This Row],[LivArea Range]],Lookups!$R$23:$U$39,4,FALSE)</f>
        <v>0.99619999999999997</v>
      </c>
      <c r="CT18">
        <f>VLOOKUP(Sales[[#This Row],[Decade]],Lookups!$M$23:$P$35,4,FALSE)</f>
        <v>0.99060000000000004</v>
      </c>
      <c r="CU18">
        <f>Sales[[#This Row],[Nbhd Adj]]*0.95</f>
        <v>0.92691499999999993</v>
      </c>
      <c r="CV18">
        <f>Sales[[#This Row],[Nbhd Adj]]*Sales[[#This Row],[Quality Adj]]*Sales[[#This Row],[Condition Adj]]*Sales[[#This Row],[Living Area Adj]]*Sales[[#This Row],[Decade Adj]]*0.95</f>
        <v>0.90439200761440286</v>
      </c>
      <c r="CW18">
        <f>ROUND(SUM(Sales[[#This Row],[Mdl Qlty]:[Mdl GarageArea]])+Sales[[#This Row],[Mdl Res Intercept]]*Sales[[#This Row],[Res Adj ]],-2)</f>
        <v>875100</v>
      </c>
      <c r="CX18">
        <f>ROUND(Sales[[#This Row],[25Det]]*Sales[[#This Row],[Det/Nbhd Adj]],-2)</f>
        <v>0</v>
      </c>
      <c r="CY18">
        <f>Sales[[#This Row],[Adjusted Res]]+Sales[[#This Row],[Adj Det ]]</f>
        <v>875100</v>
      </c>
      <c r="CZ18">
        <f>ROUND((Sales[[#This Row],[Mdl Land Intercept]]+Sales[[#This Row],[Mdl LnAcres]])*Sales[[#This Row],[Det/Nbhd Adj]],-2)</f>
        <v>65700</v>
      </c>
      <c r="DA18">
        <f>Sales[[#This Row],[Adjusted Impr Total]]+Sales[[#This Row],[Adjusted Land Total]]</f>
        <v>940800</v>
      </c>
      <c r="DB18">
        <f>IFERROR((Sales[[#This Row],[Adjusted Impr Total]]-Sales[[#This Row],[24Bldg]])/Sales[[#This Row],[24Bldg]],0)</f>
        <v>0.48397490249279296</v>
      </c>
      <c r="DC18">
        <f>(Sales[[#This Row],[Adjusted Land Total]]-Sales[[#This Row],[24Lnd]])/Sales[[#This Row],[24Lnd]]</f>
        <v>-0.46758508914100488</v>
      </c>
      <c r="DD18">
        <f>(Sales[[#This Row],[Adjusted Total]]-Sales[[#This Row],[24Final]])/Sales[[#This Row],[24Final]]</f>
        <v>0.31931005469078672</v>
      </c>
      <c r="DE18">
        <f>(Sales[[#This Row],[Adjusted Total]]+Sales[[#This Row],[Days Prior Total]])/Sales[[#This Row],[Price]]</f>
        <v>0.97233792708833144</v>
      </c>
    </row>
    <row r="19" spans="1:109" x14ac:dyDescent="0.3">
      <c r="A19">
        <v>2025</v>
      </c>
      <c r="B19">
        <v>18131531496</v>
      </c>
      <c r="C19">
        <v>-4.6051701859880909</v>
      </c>
      <c r="D19">
        <v>0.01</v>
      </c>
      <c r="E19">
        <v>6511</v>
      </c>
      <c r="F19">
        <v>5</v>
      </c>
      <c r="G19" t="s">
        <v>89</v>
      </c>
      <c r="H19" t="s">
        <v>203</v>
      </c>
      <c r="I19" t="s">
        <v>302</v>
      </c>
      <c r="J19" t="s">
        <v>26</v>
      </c>
      <c r="K19">
        <v>11</v>
      </c>
      <c r="L19">
        <v>331</v>
      </c>
      <c r="M19" t="s">
        <v>313</v>
      </c>
      <c r="N19" t="s">
        <v>274</v>
      </c>
      <c r="O19" t="s">
        <v>76</v>
      </c>
      <c r="P19">
        <v>2017</v>
      </c>
      <c r="Q19">
        <v>2017</v>
      </c>
      <c r="R19">
        <v>10</v>
      </c>
      <c r="S19">
        <v>7</v>
      </c>
      <c r="T19">
        <v>7</v>
      </c>
      <c r="U19">
        <v>1</v>
      </c>
      <c r="V19">
        <v>1740</v>
      </c>
      <c r="W19">
        <v>0</v>
      </c>
      <c r="X19">
        <v>0</v>
      </c>
      <c r="Y19">
        <v>0</v>
      </c>
      <c r="Z19">
        <v>0</v>
      </c>
      <c r="AA19">
        <v>0</v>
      </c>
      <c r="AB19">
        <v>1740</v>
      </c>
      <c r="AC19">
        <v>2000</v>
      </c>
      <c r="AD19">
        <v>2</v>
      </c>
      <c r="AE19" t="s">
        <v>132</v>
      </c>
      <c r="AF19" t="s">
        <v>153</v>
      </c>
      <c r="AG19" t="s">
        <v>111</v>
      </c>
      <c r="AI19">
        <v>0</v>
      </c>
      <c r="AJ19">
        <v>0</v>
      </c>
      <c r="AK19">
        <v>1</v>
      </c>
      <c r="AL19">
        <v>1</v>
      </c>
      <c r="AM19">
        <v>0</v>
      </c>
      <c r="AN19">
        <v>10</v>
      </c>
      <c r="AO19">
        <v>552</v>
      </c>
      <c r="AP19">
        <v>0</v>
      </c>
      <c r="AQ19">
        <v>552</v>
      </c>
      <c r="AR19">
        <v>0</v>
      </c>
      <c r="AS19">
        <v>0</v>
      </c>
      <c r="AT19">
        <v>72</v>
      </c>
      <c r="AU19">
        <v>0</v>
      </c>
      <c r="AV19">
        <v>100</v>
      </c>
      <c r="AW19">
        <v>100</v>
      </c>
      <c r="AX19">
        <v>592422</v>
      </c>
      <c r="AY19">
        <v>639816</v>
      </c>
      <c r="AZ19">
        <v>412</v>
      </c>
      <c r="BA19">
        <v>365</v>
      </c>
      <c r="BB19">
        <v>47</v>
      </c>
      <c r="BC19">
        <v>0</v>
      </c>
      <c r="BD19" s="6">
        <v>44880</v>
      </c>
      <c r="BE19" t="s">
        <v>68</v>
      </c>
      <c r="BF19">
        <v>628508</v>
      </c>
      <c r="BG19">
        <v>628508</v>
      </c>
      <c r="BH19" t="s">
        <v>198</v>
      </c>
      <c r="BI19">
        <v>30</v>
      </c>
      <c r="BJ19" t="s">
        <v>51</v>
      </c>
      <c r="BK19" t="s">
        <v>314</v>
      </c>
      <c r="BL19">
        <v>498100</v>
      </c>
      <c r="BM19">
        <v>52800</v>
      </c>
      <c r="BN19">
        <v>445300</v>
      </c>
      <c r="BO19">
        <v>0</v>
      </c>
      <c r="BP19">
        <v>0.79251178982606429</v>
      </c>
      <c r="BQ19">
        <v>675950.19413118006</v>
      </c>
      <c r="BR19">
        <v>729207.51687081007</v>
      </c>
      <c r="BS19" s="7">
        <f>(BR19-BL19)/BL19</f>
        <v>0.46397815071433463</v>
      </c>
      <c r="BT19" s="14">
        <f>(Sales[[#This Row],[DP1]]*Lookups!$B$51)+(Sales[[#This Row],[DP2]]*Lookups!$B$52)+(Sales[[#This Row],[DP3]]*Lookups!$B$53)</f>
        <v>-53257.336338000008</v>
      </c>
      <c r="BU19" s="14">
        <f>Lookups!$B$48*0.5</f>
        <v>87214.824999999997</v>
      </c>
      <c r="BV19" s="14">
        <f>Lookups!$B$48*0.5</f>
        <v>87214.824999999997</v>
      </c>
      <c r="BW19" s="14">
        <f>Lookups!$B$49*Sales[[#This Row],[LnAcres]]</f>
        <v>-115257.49021870131</v>
      </c>
      <c r="BX19" s="14">
        <f>VLOOKUP(Sales[[#This Row],[Qlty]],Lookups!$A$54:$E$67,2,FALSE)</f>
        <v>243340.36395999999</v>
      </c>
      <c r="BY19" s="14">
        <f>VLOOKUP(Sales[[#This Row],[Cnd]],Lookups!$A$68:$E$76,2,FALSE)</f>
        <v>133581.64413</v>
      </c>
      <c r="BZ19" s="14">
        <f>Sales[[#This Row],[Age]]*Lookups!$B$77</f>
        <v>1291.58701</v>
      </c>
      <c r="CA19" s="14">
        <f>Sales[[#This Row],[MainFn]]*Lookups!$B$78</f>
        <v>120205.21866000001</v>
      </c>
      <c r="CB19" s="14">
        <f>Sales[[#This Row],[UpprFn]]*Lookups!$B$79</f>
        <v>0</v>
      </c>
      <c r="CC19" s="14">
        <f>Sales[[#This Row],[AddFn]]*Lookups!$B$80</f>
        <v>0</v>
      </c>
      <c r="CD19" s="14">
        <f>Sales[[#This Row],[Bsmt]]*Lookups!$B$81</f>
        <v>0</v>
      </c>
      <c r="CE19" s="14">
        <f>Sales[[#This Row],[Fixtures]]*Lookups!$B$84</f>
        <v>101551</v>
      </c>
      <c r="CF19" s="14">
        <f>Sales[[#This Row],[MsnryFP]]*Lookups!$B$82</f>
        <v>0</v>
      </c>
      <c r="CG19" s="14">
        <f>Sales[[#This Row],[PrefabFP]]*Lookups!$B$83</f>
        <v>42091.021999999997</v>
      </c>
      <c r="CH19" s="14">
        <f>Sales[[#This Row],[GarageArea]]*Lookups!$B$85</f>
        <v>27974.530343999999</v>
      </c>
      <c r="CI19" s="14">
        <f>SUM(Sales[[#This Row],[Days Prior Total]:[Mdl GarageArea]])</f>
        <v>675950.18954729871</v>
      </c>
      <c r="CJ19" s="14">
        <f>ROUND(Sales[[#This Row],[25Det]],-2)</f>
        <v>0</v>
      </c>
      <c r="CK19" s="14">
        <f>ROUND(SUM(Sales[[#This Row],[Mdl Qlty]:[Mdl GarageArea]])+Sales[[#This Row],[Mdl Res Intercept]]+Sales[[#This Row],[Days Prior Total]],-2)</f>
        <v>704000</v>
      </c>
      <c r="CL19" s="14">
        <f>ROUND(Sales[[#This Row],[Mdl Land Intercept]]+Sales[[#This Row],[Mdl LnAcres]],-2)</f>
        <v>-28000</v>
      </c>
      <c r="CM19" s="14">
        <f>Sales[[#This Row],[Unadj Res Value]]+Sales[[#This Row],[Unadj Det Value]]+Sales[[#This Row],[Unadj Land Value]]</f>
        <v>676000</v>
      </c>
      <c r="CN19" s="15">
        <f>Sales[[#This Row],[Unadj Total Value]]/Sales[[#This Row],[Price]]</f>
        <v>1.0755630795471178</v>
      </c>
      <c r="CO19" s="15">
        <f>(Sales[[#This Row],[Unadj Total Value]]-Sales[[#This Row],[24Final]])/Sales[[#This Row],[24Final]]</f>
        <v>0.35715719734992973</v>
      </c>
      <c r="CP19">
        <f>VLOOKUP(Sales[[#This Row],[TNbhd]],Lookups!$M$2:$P$4,4,FALSE)</f>
        <v>0.97570000000000001</v>
      </c>
      <c r="CQ19">
        <f>VLOOKUP(Sales[[#This Row],[Qlty]],Lookups!$M$6:$P$20,4,FALSE)</f>
        <v>0.99519999999999997</v>
      </c>
      <c r="CR19">
        <f>VLOOKUP(Sales[[#This Row],[Cnd]],Lookups!$R$6:$U$15,4,FALSE)</f>
        <v>0.98370000000000002</v>
      </c>
      <c r="CS19">
        <f>VLOOKUP(Sales[[#This Row],[LivArea Range]],Lookups!$R$23:$U$39,4,FALSE)</f>
        <v>0.99099999999999999</v>
      </c>
      <c r="CT19">
        <f>VLOOKUP(Sales[[#This Row],[Decade]],Lookups!$M$23:$P$35,4,FALSE)</f>
        <v>0.99060000000000004</v>
      </c>
      <c r="CU19">
        <f>Sales[[#This Row],[Nbhd Adj]]*0.95</f>
        <v>0.92691499999999993</v>
      </c>
      <c r="CV19">
        <f>Sales[[#This Row],[Nbhd Adj]]*Sales[[#This Row],[Quality Adj]]*Sales[[#This Row],[Condition Adj]]*Sales[[#This Row],[Living Area Adj]]*Sales[[#This Row],[Decade Adj]]*0.95</f>
        <v>0.89080967895299223</v>
      </c>
      <c r="CW19">
        <f>ROUND(SUM(Sales[[#This Row],[Mdl Qlty]:[Mdl GarageArea]])+Sales[[#This Row],[Mdl Res Intercept]]*Sales[[#This Row],[Res Adj ]],-2)</f>
        <v>747700</v>
      </c>
      <c r="CX19">
        <f>ROUND(Sales[[#This Row],[25Det]]*Sales[[#This Row],[Det/Nbhd Adj]],-2)</f>
        <v>0</v>
      </c>
      <c r="CY19">
        <f>Sales[[#This Row],[Adjusted Res]]+Sales[[#This Row],[Adj Det ]]</f>
        <v>747700</v>
      </c>
      <c r="CZ19">
        <f>ROUND((Sales[[#This Row],[Mdl Land Intercept]]+Sales[[#This Row],[Mdl LnAcres]])*Sales[[#This Row],[Det/Nbhd Adj]],-2)</f>
        <v>-26000</v>
      </c>
      <c r="DA19">
        <f>Sales[[#This Row],[Adjusted Impr Total]]+Sales[[#This Row],[Adjusted Land Total]]</f>
        <v>721700</v>
      </c>
      <c r="DB19">
        <f>IFERROR((Sales[[#This Row],[Adjusted Impr Total]]-Sales[[#This Row],[24Bldg]])/Sales[[#This Row],[24Bldg]],0)</f>
        <v>0.67909274646305862</v>
      </c>
      <c r="DC19">
        <f>(Sales[[#This Row],[Adjusted Land Total]]-Sales[[#This Row],[24Lnd]])/Sales[[#This Row],[24Lnd]]</f>
        <v>-1.4924242424242424</v>
      </c>
      <c r="DD19">
        <f>(Sales[[#This Row],[Adjusted Total]]-Sales[[#This Row],[24Final]])/Sales[[#This Row],[24Final]]</f>
        <v>0.44890584220036139</v>
      </c>
      <c r="DE19">
        <f>(Sales[[#This Row],[Adjusted Total]]+Sales[[#This Row],[Days Prior Total]])/Sales[[#This Row],[Price]]</f>
        <v>1.0635388311079572</v>
      </c>
    </row>
    <row r="20" spans="1:109" x14ac:dyDescent="0.3">
      <c r="A20">
        <v>2025</v>
      </c>
      <c r="B20">
        <v>18131743479</v>
      </c>
      <c r="C20">
        <v>-3.912023005428146</v>
      </c>
      <c r="D20">
        <v>0.02</v>
      </c>
      <c r="E20">
        <v>9468</v>
      </c>
      <c r="F20">
        <v>1</v>
      </c>
      <c r="G20" t="s">
        <v>89</v>
      </c>
      <c r="H20">
        <v>3041</v>
      </c>
      <c r="I20" t="s">
        <v>302</v>
      </c>
      <c r="J20" t="s">
        <v>110</v>
      </c>
      <c r="K20">
        <v>11</v>
      </c>
      <c r="L20">
        <v>259</v>
      </c>
      <c r="M20" t="s">
        <v>204</v>
      </c>
      <c r="N20" t="s">
        <v>50</v>
      </c>
      <c r="O20" t="s">
        <v>76</v>
      </c>
      <c r="P20">
        <v>2017</v>
      </c>
      <c r="Q20">
        <v>2017</v>
      </c>
      <c r="R20">
        <v>10</v>
      </c>
      <c r="S20">
        <v>7</v>
      </c>
      <c r="T20">
        <v>7</v>
      </c>
      <c r="U20">
        <v>2</v>
      </c>
      <c r="V20">
        <v>2224</v>
      </c>
      <c r="W20">
        <v>906</v>
      </c>
      <c r="X20">
        <v>420</v>
      </c>
      <c r="Y20">
        <v>0</v>
      </c>
      <c r="Z20">
        <v>0</v>
      </c>
      <c r="AA20">
        <v>0</v>
      </c>
      <c r="AB20">
        <v>3550</v>
      </c>
      <c r="AC20">
        <v>4000</v>
      </c>
      <c r="AD20">
        <v>3</v>
      </c>
      <c r="AF20" t="s">
        <v>275</v>
      </c>
      <c r="AG20" t="s">
        <v>111</v>
      </c>
      <c r="AH20" t="s">
        <v>314</v>
      </c>
      <c r="AI20">
        <v>0</v>
      </c>
      <c r="AJ20">
        <v>0</v>
      </c>
      <c r="AK20">
        <v>1</v>
      </c>
      <c r="AL20">
        <v>0</v>
      </c>
      <c r="AM20">
        <v>1</v>
      </c>
      <c r="AN20">
        <v>17</v>
      </c>
      <c r="AO20">
        <v>876</v>
      </c>
      <c r="AP20">
        <v>0</v>
      </c>
      <c r="AQ20">
        <v>876</v>
      </c>
      <c r="AR20">
        <v>0</v>
      </c>
      <c r="AS20">
        <v>0</v>
      </c>
      <c r="AT20">
        <v>0</v>
      </c>
      <c r="AU20">
        <v>0</v>
      </c>
      <c r="AV20">
        <v>100</v>
      </c>
      <c r="AW20">
        <v>100</v>
      </c>
      <c r="AX20">
        <v>709679</v>
      </c>
      <c r="AY20">
        <v>695485</v>
      </c>
      <c r="AZ20">
        <v>997</v>
      </c>
      <c r="BA20">
        <v>365</v>
      </c>
      <c r="BB20">
        <v>365</v>
      </c>
      <c r="BC20">
        <v>267</v>
      </c>
      <c r="BD20" s="6">
        <v>44295</v>
      </c>
      <c r="BE20" t="s">
        <v>247</v>
      </c>
      <c r="BF20">
        <v>630000</v>
      </c>
      <c r="BG20">
        <v>630000</v>
      </c>
      <c r="BH20" t="s">
        <v>198</v>
      </c>
      <c r="BI20">
        <v>30</v>
      </c>
      <c r="BJ20" t="s">
        <v>51</v>
      </c>
      <c r="BK20" t="s">
        <v>314</v>
      </c>
      <c r="BL20">
        <v>678200</v>
      </c>
      <c r="BM20">
        <v>74500</v>
      </c>
      <c r="BN20">
        <v>603700</v>
      </c>
      <c r="BO20">
        <v>0</v>
      </c>
      <c r="BP20">
        <v>1.0765079365079364</v>
      </c>
      <c r="BQ20">
        <v>640651.30493581714</v>
      </c>
      <c r="BR20">
        <v>746045.1369769593</v>
      </c>
      <c r="BS20" s="7">
        <f>(BR20-BL20)/BL20</f>
        <v>0.1000370642538474</v>
      </c>
      <c r="BT20" s="14">
        <f>(Sales[[#This Row],[DP1]]*Lookups!$B$51)+(Sales[[#This Row],[DP2]]*Lookups!$B$52)+(Sales[[#This Row],[DP3]]*Lookups!$B$53)</f>
        <v>-105393.83271</v>
      </c>
      <c r="BU20" s="14">
        <f>Lookups!$B$48*0.5</f>
        <v>87214.824999999997</v>
      </c>
      <c r="BV20" s="14">
        <f>Lookups!$B$48*0.5</f>
        <v>87214.824999999997</v>
      </c>
      <c r="BW20" s="14">
        <f>Lookups!$B$49*Sales[[#This Row],[LnAcres]]</f>
        <v>-97909.509328312808</v>
      </c>
      <c r="BX20" s="14">
        <f>VLOOKUP(Sales[[#This Row],[Qlty]],Lookups!$A$54:$E$67,2,FALSE)</f>
        <v>46722.525125</v>
      </c>
      <c r="BY20" s="14">
        <f>VLOOKUP(Sales[[#This Row],[Cnd]],Lookups!$A$68:$E$76,2,FALSE)</f>
        <v>133581.64413</v>
      </c>
      <c r="BZ20" s="14">
        <f>Sales[[#This Row],[Age]]*Lookups!$B$77</f>
        <v>1291.58701</v>
      </c>
      <c r="CA20" s="14">
        <f>Sales[[#This Row],[MainFn]]*Lookups!$B$78</f>
        <v>153641.61281600001</v>
      </c>
      <c r="CB20" s="14">
        <f>Sales[[#This Row],[UpprFn]]*Lookups!$B$79</f>
        <v>55432.862550000005</v>
      </c>
      <c r="CC20" s="14">
        <f>Sales[[#This Row],[AddFn]]*Lookups!$B$80</f>
        <v>19732.691579999999</v>
      </c>
      <c r="CD20" s="14">
        <f>Sales[[#This Row],[Bsmt]]*Lookups!$B$81</f>
        <v>0</v>
      </c>
      <c r="CE20" s="14">
        <f>Sales[[#This Row],[Fixtures]]*Lookups!$B$84</f>
        <v>172636.7</v>
      </c>
      <c r="CF20" s="14">
        <f>Sales[[#This Row],[MsnryFP]]*Lookups!$B$82</f>
        <v>0</v>
      </c>
      <c r="CG20" s="14">
        <f>Sales[[#This Row],[PrefabFP]]*Lookups!$B$83</f>
        <v>42091.021999999997</v>
      </c>
      <c r="CH20" s="14">
        <f>Sales[[#This Row],[GarageArea]]*Lookups!$B$85</f>
        <v>44394.363372</v>
      </c>
      <c r="CI20" s="14">
        <f>SUM(Sales[[#This Row],[Days Prior Total]:[Mdl GarageArea]])</f>
        <v>640651.31654468726</v>
      </c>
      <c r="CJ20" s="14">
        <f>ROUND(Sales[[#This Row],[25Det]],-2)</f>
        <v>0</v>
      </c>
      <c r="CK20" s="14">
        <f>ROUND(SUM(Sales[[#This Row],[Mdl Qlty]:[Mdl GarageArea]])+Sales[[#This Row],[Mdl Res Intercept]]+Sales[[#This Row],[Days Prior Total]],-2)</f>
        <v>651300</v>
      </c>
      <c r="CL20" s="14">
        <f>ROUND(Sales[[#This Row],[Mdl Land Intercept]]+Sales[[#This Row],[Mdl LnAcres]],-2)</f>
        <v>-10700</v>
      </c>
      <c r="CM20" s="14">
        <f>Sales[[#This Row],[Unadj Res Value]]+Sales[[#This Row],[Unadj Det Value]]+Sales[[#This Row],[Unadj Land Value]]</f>
        <v>640600</v>
      </c>
      <c r="CN20" s="15">
        <f>Sales[[#This Row],[Unadj Total Value]]/Sales[[#This Row],[Price]]</f>
        <v>1.0168253968253969</v>
      </c>
      <c r="CO20" s="15">
        <f>(Sales[[#This Row],[Unadj Total Value]]-Sales[[#This Row],[24Final]])/Sales[[#This Row],[24Final]]</f>
        <v>-5.5440872898849899E-2</v>
      </c>
      <c r="CP20">
        <f>VLOOKUP(Sales[[#This Row],[TNbhd]],Lookups!$M$2:$P$4,4,FALSE)</f>
        <v>0.97570000000000001</v>
      </c>
      <c r="CQ20">
        <f>VLOOKUP(Sales[[#This Row],[Qlty]],Lookups!$M$6:$P$20,4,FALSE)</f>
        <v>0.98329999999999995</v>
      </c>
      <c r="CR20">
        <f>VLOOKUP(Sales[[#This Row],[Cnd]],Lookups!$R$6:$U$15,4,FALSE)</f>
        <v>0.98370000000000002</v>
      </c>
      <c r="CS20">
        <f>VLOOKUP(Sales[[#This Row],[LivArea Range]],Lookups!$R$23:$U$39,4,FALSE)</f>
        <v>1.034</v>
      </c>
      <c r="CT20">
        <f>VLOOKUP(Sales[[#This Row],[Decade]],Lookups!$M$23:$P$35,4,FALSE)</f>
        <v>0.99060000000000004</v>
      </c>
      <c r="CU20">
        <f>Sales[[#This Row],[Nbhd Adj]]*0.95</f>
        <v>0.92691499999999993</v>
      </c>
      <c r="CV20">
        <f>Sales[[#This Row],[Nbhd Adj]]*Sales[[#This Row],[Quality Adj]]*Sales[[#This Row],[Condition Adj]]*Sales[[#This Row],[Living Area Adj]]*Sales[[#This Row],[Decade Adj]]*0.95</f>
        <v>0.91834842021031871</v>
      </c>
      <c r="CW20">
        <f>ROUND(SUM(Sales[[#This Row],[Mdl Qlty]:[Mdl GarageArea]])+Sales[[#This Row],[Mdl Res Intercept]]*Sales[[#This Row],[Res Adj ]],-2)</f>
        <v>749600</v>
      </c>
      <c r="CX20">
        <f>ROUND(Sales[[#This Row],[25Det]]*Sales[[#This Row],[Det/Nbhd Adj]],-2)</f>
        <v>0</v>
      </c>
      <c r="CY20">
        <f>Sales[[#This Row],[Adjusted Res]]+Sales[[#This Row],[Adj Det ]]</f>
        <v>749600</v>
      </c>
      <c r="CZ20">
        <f>ROUND((Sales[[#This Row],[Mdl Land Intercept]]+Sales[[#This Row],[Mdl LnAcres]])*Sales[[#This Row],[Det/Nbhd Adj]],-2)</f>
        <v>-9900</v>
      </c>
      <c r="DA20">
        <f>Sales[[#This Row],[Adjusted Impr Total]]+Sales[[#This Row],[Adjusted Land Total]]</f>
        <v>739700</v>
      </c>
      <c r="DB20">
        <f>IFERROR((Sales[[#This Row],[Adjusted Impr Total]]-Sales[[#This Row],[24Bldg]])/Sales[[#This Row],[24Bldg]],0)</f>
        <v>0.24167632930263375</v>
      </c>
      <c r="DC20">
        <f>(Sales[[#This Row],[Adjusted Land Total]]-Sales[[#This Row],[24Lnd]])/Sales[[#This Row],[24Lnd]]</f>
        <v>-1.1328859060402685</v>
      </c>
      <c r="DD20">
        <f>(Sales[[#This Row],[Adjusted Total]]-Sales[[#This Row],[24Final]])/Sales[[#This Row],[24Final]]</f>
        <v>9.0681214980831606E-2</v>
      </c>
      <c r="DE20">
        <f>(Sales[[#This Row],[Adjusted Total]]+Sales[[#This Row],[Days Prior Total]])/Sales[[#This Row],[Price]]</f>
        <v>1.0068351861746032</v>
      </c>
    </row>
    <row r="21" spans="1:109" x14ac:dyDescent="0.3">
      <c r="A21">
        <v>2025</v>
      </c>
      <c r="B21">
        <v>18131531430</v>
      </c>
      <c r="C21">
        <v>-3.912023005428146</v>
      </c>
      <c r="D21">
        <v>0.02</v>
      </c>
      <c r="E21">
        <v>6670</v>
      </c>
      <c r="F21">
        <v>5</v>
      </c>
      <c r="G21" t="s">
        <v>89</v>
      </c>
      <c r="H21" t="s">
        <v>203</v>
      </c>
      <c r="I21" t="s">
        <v>302</v>
      </c>
      <c r="J21" t="s">
        <v>26</v>
      </c>
      <c r="K21">
        <v>11</v>
      </c>
      <c r="L21">
        <v>259</v>
      </c>
      <c r="M21" t="s">
        <v>313</v>
      </c>
      <c r="N21" t="s">
        <v>189</v>
      </c>
      <c r="O21" t="s">
        <v>76</v>
      </c>
      <c r="P21">
        <v>2017</v>
      </c>
      <c r="Q21">
        <v>2017</v>
      </c>
      <c r="R21">
        <v>10</v>
      </c>
      <c r="S21">
        <v>7</v>
      </c>
      <c r="T21">
        <v>7</v>
      </c>
      <c r="U21">
        <v>1</v>
      </c>
      <c r="V21">
        <v>1740</v>
      </c>
      <c r="W21">
        <v>0</v>
      </c>
      <c r="X21">
        <v>0</v>
      </c>
      <c r="Y21">
        <v>0</v>
      </c>
      <c r="Z21">
        <v>0</v>
      </c>
      <c r="AA21">
        <v>0</v>
      </c>
      <c r="AB21">
        <v>1740</v>
      </c>
      <c r="AC21">
        <v>2000</v>
      </c>
      <c r="AD21">
        <v>2</v>
      </c>
      <c r="AE21" t="s">
        <v>132</v>
      </c>
      <c r="AF21" t="s">
        <v>153</v>
      </c>
      <c r="AG21" t="s">
        <v>111</v>
      </c>
      <c r="AI21">
        <v>0</v>
      </c>
      <c r="AJ21">
        <v>0</v>
      </c>
      <c r="AK21">
        <v>1</v>
      </c>
      <c r="AL21">
        <v>1</v>
      </c>
      <c r="AM21">
        <v>0</v>
      </c>
      <c r="AN21">
        <v>10</v>
      </c>
      <c r="AO21">
        <v>552</v>
      </c>
      <c r="AP21">
        <v>0</v>
      </c>
      <c r="AQ21">
        <v>552</v>
      </c>
      <c r="AR21">
        <v>0</v>
      </c>
      <c r="AS21">
        <v>0</v>
      </c>
      <c r="AT21">
        <v>72</v>
      </c>
      <c r="AU21">
        <v>0</v>
      </c>
      <c r="AV21">
        <v>100</v>
      </c>
      <c r="AW21">
        <v>100</v>
      </c>
      <c r="AX21">
        <v>513890</v>
      </c>
      <c r="AY21">
        <v>580696</v>
      </c>
      <c r="AZ21">
        <v>446</v>
      </c>
      <c r="BA21">
        <v>365</v>
      </c>
      <c r="BB21">
        <v>81</v>
      </c>
      <c r="BC21">
        <v>0</v>
      </c>
      <c r="BD21" s="6">
        <v>44846</v>
      </c>
      <c r="BE21" t="s">
        <v>102</v>
      </c>
      <c r="BF21">
        <v>599950</v>
      </c>
      <c r="BG21">
        <v>599950</v>
      </c>
      <c r="BH21" t="s">
        <v>198</v>
      </c>
      <c r="BI21">
        <v>30</v>
      </c>
      <c r="BJ21" t="s">
        <v>51</v>
      </c>
      <c r="BK21" t="s">
        <v>314</v>
      </c>
      <c r="BL21">
        <v>529200</v>
      </c>
      <c r="BM21">
        <v>52800</v>
      </c>
      <c r="BN21">
        <v>476400</v>
      </c>
      <c r="BO21">
        <v>0</v>
      </c>
      <c r="BP21">
        <v>0.8820735061255105</v>
      </c>
      <c r="BQ21">
        <v>594916.82828785933</v>
      </c>
      <c r="BR21">
        <v>644939.23646926938</v>
      </c>
      <c r="BS21" s="7">
        <f>(BR21-BL21)/BL21</f>
        <v>0.21870604019136317</v>
      </c>
      <c r="BT21" s="14">
        <f>(Sales[[#This Row],[DP1]]*Lookups!$B$51)+(Sales[[#This Row],[DP2]]*Lookups!$B$52)+(Sales[[#This Row],[DP3]]*Lookups!$B$53)</f>
        <v>-50022.421774000002</v>
      </c>
      <c r="BU21" s="14">
        <f>Lookups!$B$48*0.5</f>
        <v>87214.824999999997</v>
      </c>
      <c r="BV21" s="14">
        <f>Lookups!$B$48*0.5</f>
        <v>87214.824999999997</v>
      </c>
      <c r="BW21" s="14">
        <f>Lookups!$B$49*Sales[[#This Row],[LnAcres]]</f>
        <v>-97909.509328312808</v>
      </c>
      <c r="BX21" s="14">
        <f>VLOOKUP(Sales[[#This Row],[Qlty]],Lookups!$A$54:$E$67,2,FALSE)</f>
        <v>141724.10243</v>
      </c>
      <c r="BY21" s="14">
        <f>VLOOKUP(Sales[[#This Row],[Cnd]],Lookups!$A$68:$E$76,2,FALSE)</f>
        <v>133581.64413</v>
      </c>
      <c r="BZ21" s="14">
        <f>Sales[[#This Row],[Age]]*Lookups!$B$77</f>
        <v>1291.58701</v>
      </c>
      <c r="CA21" s="14">
        <f>Sales[[#This Row],[MainFn]]*Lookups!$B$78</f>
        <v>120205.21866000001</v>
      </c>
      <c r="CB21" s="14">
        <f>Sales[[#This Row],[UpprFn]]*Lookups!$B$79</f>
        <v>0</v>
      </c>
      <c r="CC21" s="14">
        <f>Sales[[#This Row],[AddFn]]*Lookups!$B$80</f>
        <v>0</v>
      </c>
      <c r="CD21" s="14">
        <f>Sales[[#This Row],[Bsmt]]*Lookups!$B$81</f>
        <v>0</v>
      </c>
      <c r="CE21" s="14">
        <f>Sales[[#This Row],[Fixtures]]*Lookups!$B$84</f>
        <v>101551</v>
      </c>
      <c r="CF21" s="14">
        <f>Sales[[#This Row],[MsnryFP]]*Lookups!$B$82</f>
        <v>0</v>
      </c>
      <c r="CG21" s="14">
        <f>Sales[[#This Row],[PrefabFP]]*Lookups!$B$83</f>
        <v>42091.021999999997</v>
      </c>
      <c r="CH21" s="14">
        <f>Sales[[#This Row],[GarageArea]]*Lookups!$B$85</f>
        <v>27974.530343999999</v>
      </c>
      <c r="CI21" s="14">
        <f>SUM(Sales[[#This Row],[Days Prior Total]:[Mdl GarageArea]])</f>
        <v>594916.82347168715</v>
      </c>
      <c r="CJ21" s="14">
        <f>ROUND(Sales[[#This Row],[25Det]],-2)</f>
        <v>0</v>
      </c>
      <c r="CK21" s="14">
        <f>ROUND(SUM(Sales[[#This Row],[Mdl Qlty]:[Mdl GarageArea]])+Sales[[#This Row],[Mdl Res Intercept]]+Sales[[#This Row],[Days Prior Total]],-2)</f>
        <v>605600</v>
      </c>
      <c r="CL21" s="14">
        <f>ROUND(Sales[[#This Row],[Mdl Land Intercept]]+Sales[[#This Row],[Mdl LnAcres]],-2)</f>
        <v>-10700</v>
      </c>
      <c r="CM21" s="14">
        <f>Sales[[#This Row],[Unadj Res Value]]+Sales[[#This Row],[Unadj Det Value]]+Sales[[#This Row],[Unadj Land Value]]</f>
        <v>594900</v>
      </c>
      <c r="CN21" s="15">
        <f>Sales[[#This Row],[Unadj Total Value]]/Sales[[#This Row],[Price]]</f>
        <v>0.9915826318859905</v>
      </c>
      <c r="CO21" s="15">
        <f>(Sales[[#This Row],[Unadj Total Value]]-Sales[[#This Row],[24Final]])/Sales[[#This Row],[24Final]]</f>
        <v>0.12414965986394558</v>
      </c>
      <c r="CP21">
        <f>VLOOKUP(Sales[[#This Row],[TNbhd]],Lookups!$M$2:$P$4,4,FALSE)</f>
        <v>0.97570000000000001</v>
      </c>
      <c r="CQ21">
        <f>VLOOKUP(Sales[[#This Row],[Qlty]],Lookups!$M$6:$P$20,4,FALSE)</f>
        <v>1.0051000000000001</v>
      </c>
      <c r="CR21">
        <f>VLOOKUP(Sales[[#This Row],[Cnd]],Lookups!$R$6:$U$15,4,FALSE)</f>
        <v>0.98370000000000002</v>
      </c>
      <c r="CS21">
        <f>VLOOKUP(Sales[[#This Row],[LivArea Range]],Lookups!$R$23:$U$39,4,FALSE)</f>
        <v>0.99099999999999999</v>
      </c>
      <c r="CT21">
        <f>VLOOKUP(Sales[[#This Row],[Decade]],Lookups!$M$23:$P$35,4,FALSE)</f>
        <v>0.99060000000000004</v>
      </c>
      <c r="CU21">
        <f>Sales[[#This Row],[Nbhd Adj]]*0.95</f>
        <v>0.92691499999999993</v>
      </c>
      <c r="CV21">
        <f>Sales[[#This Row],[Nbhd Adj]]*Sales[[#This Row],[Quality Adj]]*Sales[[#This Row],[Condition Adj]]*Sales[[#This Row],[Living Area Adj]]*Sales[[#This Row],[Decade Adj]]*0.95</f>
        <v>0.89967123022071205</v>
      </c>
      <c r="CW21">
        <f>ROUND(SUM(Sales[[#This Row],[Mdl Qlty]:[Mdl GarageArea]])+Sales[[#This Row],[Mdl Res Intercept]]*Sales[[#This Row],[Res Adj ]],-2)</f>
        <v>646900</v>
      </c>
      <c r="CX21">
        <f>ROUND(Sales[[#This Row],[25Det]]*Sales[[#This Row],[Det/Nbhd Adj]],-2)</f>
        <v>0</v>
      </c>
      <c r="CY21">
        <f>Sales[[#This Row],[Adjusted Res]]+Sales[[#This Row],[Adj Det ]]</f>
        <v>646900</v>
      </c>
      <c r="CZ21">
        <f>ROUND((Sales[[#This Row],[Mdl Land Intercept]]+Sales[[#This Row],[Mdl LnAcres]])*Sales[[#This Row],[Det/Nbhd Adj]],-2)</f>
        <v>-9900</v>
      </c>
      <c r="DA21">
        <f>Sales[[#This Row],[Adjusted Impr Total]]+Sales[[#This Row],[Adjusted Land Total]]</f>
        <v>637000</v>
      </c>
      <c r="DB21">
        <f>IFERROR((Sales[[#This Row],[Adjusted Impr Total]]-Sales[[#This Row],[24Bldg]])/Sales[[#This Row],[24Bldg]],0)</f>
        <v>0.35789252728799326</v>
      </c>
      <c r="DC21">
        <f>(Sales[[#This Row],[Adjusted Land Total]]-Sales[[#This Row],[24Lnd]])/Sales[[#This Row],[24Lnd]]</f>
        <v>-1.1875</v>
      </c>
      <c r="DD21">
        <f>(Sales[[#This Row],[Adjusted Total]]-Sales[[#This Row],[24Final]])/Sales[[#This Row],[24Final]]</f>
        <v>0.20370370370370369</v>
      </c>
      <c r="DE21">
        <f>(Sales[[#This Row],[Adjusted Total]]+Sales[[#This Row],[Days Prior Total]])/Sales[[#This Row],[Price]]</f>
        <v>0.9783774951679306</v>
      </c>
    </row>
    <row r="22" spans="1:109" x14ac:dyDescent="0.3">
      <c r="A22">
        <v>2025</v>
      </c>
      <c r="B22">
        <v>18131531419</v>
      </c>
      <c r="C22">
        <v>-3.912023005428146</v>
      </c>
      <c r="D22">
        <v>0.02</v>
      </c>
      <c r="E22">
        <v>7533</v>
      </c>
      <c r="F22">
        <v>5</v>
      </c>
      <c r="G22" t="s">
        <v>89</v>
      </c>
      <c r="H22" t="s">
        <v>203</v>
      </c>
      <c r="I22" t="s">
        <v>302</v>
      </c>
      <c r="J22" t="s">
        <v>26</v>
      </c>
      <c r="K22">
        <v>11</v>
      </c>
      <c r="L22">
        <v>259</v>
      </c>
      <c r="M22" t="s">
        <v>313</v>
      </c>
      <c r="N22" t="s">
        <v>189</v>
      </c>
      <c r="O22" t="s">
        <v>76</v>
      </c>
      <c r="P22">
        <v>2017</v>
      </c>
      <c r="Q22">
        <v>2017</v>
      </c>
      <c r="R22">
        <v>10</v>
      </c>
      <c r="S22">
        <v>7</v>
      </c>
      <c r="T22">
        <v>7</v>
      </c>
      <c r="U22">
        <v>1</v>
      </c>
      <c r="V22">
        <v>1944</v>
      </c>
      <c r="W22">
        <v>0</v>
      </c>
      <c r="X22">
        <v>0</v>
      </c>
      <c r="Y22">
        <v>0</v>
      </c>
      <c r="Z22">
        <v>0</v>
      </c>
      <c r="AA22">
        <v>0</v>
      </c>
      <c r="AB22">
        <v>1944</v>
      </c>
      <c r="AC22">
        <v>2000</v>
      </c>
      <c r="AD22">
        <v>2</v>
      </c>
      <c r="AE22" t="s">
        <v>132</v>
      </c>
      <c r="AF22" t="s">
        <v>153</v>
      </c>
      <c r="AG22" t="s">
        <v>274</v>
      </c>
      <c r="AI22">
        <v>0</v>
      </c>
      <c r="AJ22">
        <v>0</v>
      </c>
      <c r="AK22">
        <v>1</v>
      </c>
      <c r="AL22">
        <v>1</v>
      </c>
      <c r="AM22">
        <v>0</v>
      </c>
      <c r="AN22">
        <v>10</v>
      </c>
      <c r="AO22">
        <v>576</v>
      </c>
      <c r="AP22">
        <v>0</v>
      </c>
      <c r="AQ22">
        <v>576</v>
      </c>
      <c r="AR22">
        <v>0</v>
      </c>
      <c r="AS22">
        <v>0</v>
      </c>
      <c r="AT22">
        <v>0</v>
      </c>
      <c r="AU22">
        <v>0</v>
      </c>
      <c r="AV22">
        <v>100</v>
      </c>
      <c r="AW22">
        <v>100</v>
      </c>
      <c r="AX22">
        <v>569226</v>
      </c>
      <c r="AY22">
        <v>557841</v>
      </c>
      <c r="AZ22">
        <v>745</v>
      </c>
      <c r="BA22">
        <v>365</v>
      </c>
      <c r="BB22">
        <v>365</v>
      </c>
      <c r="BC22">
        <v>15</v>
      </c>
      <c r="BD22" s="6">
        <v>44547</v>
      </c>
      <c r="BE22" t="s">
        <v>145</v>
      </c>
      <c r="BF22">
        <v>699000</v>
      </c>
      <c r="BG22">
        <v>699000</v>
      </c>
      <c r="BH22" t="s">
        <v>198</v>
      </c>
      <c r="BI22">
        <v>30</v>
      </c>
      <c r="BJ22" t="s">
        <v>51</v>
      </c>
      <c r="BK22" t="s">
        <v>314</v>
      </c>
      <c r="BL22">
        <v>628600</v>
      </c>
      <c r="BM22">
        <v>60000</v>
      </c>
      <c r="BN22">
        <v>568600</v>
      </c>
      <c r="BO22">
        <v>0</v>
      </c>
      <c r="BP22">
        <v>0.89928469241773967</v>
      </c>
      <c r="BQ22">
        <v>632618.39811108983</v>
      </c>
      <c r="BR22">
        <v>660248.54600012046</v>
      </c>
      <c r="BS22" s="7">
        <f>(BR22-BL22)/BL22</f>
        <v>5.03476710151455E-2</v>
      </c>
      <c r="BT22" s="14">
        <f>(Sales[[#This Row],[DP1]]*Lookups!$B$51)+(Sales[[#This Row],[DP2]]*Lookups!$B$52)+(Sales[[#This Row],[DP3]]*Lookups!$B$53)</f>
        <v>-27630.160710000004</v>
      </c>
      <c r="BU22" s="14">
        <f>Lookups!$B$48*0.5</f>
        <v>87214.824999999997</v>
      </c>
      <c r="BV22" s="14">
        <f>Lookups!$B$48*0.5</f>
        <v>87214.824999999997</v>
      </c>
      <c r="BW22" s="14">
        <f>Lookups!$B$49*Sales[[#This Row],[LnAcres]]</f>
        <v>-97909.509328312808</v>
      </c>
      <c r="BX22" s="14">
        <f>VLOOKUP(Sales[[#This Row],[Qlty]],Lookups!$A$54:$E$67,2,FALSE)</f>
        <v>141724.10243</v>
      </c>
      <c r="BY22" s="14">
        <f>VLOOKUP(Sales[[#This Row],[Cnd]],Lookups!$A$68:$E$76,2,FALSE)</f>
        <v>133581.64413</v>
      </c>
      <c r="BZ22" s="14">
        <f>Sales[[#This Row],[Age]]*Lookups!$B$77</f>
        <v>1291.58701</v>
      </c>
      <c r="CA22" s="14">
        <f>Sales[[#This Row],[MainFn]]*Lookups!$B$78</f>
        <v>134298.24429600002</v>
      </c>
      <c r="CB22" s="14">
        <f>Sales[[#This Row],[UpprFn]]*Lookups!$B$79</f>
        <v>0</v>
      </c>
      <c r="CC22" s="14">
        <f>Sales[[#This Row],[AddFn]]*Lookups!$B$80</f>
        <v>0</v>
      </c>
      <c r="CD22" s="14">
        <f>Sales[[#This Row],[Bsmt]]*Lookups!$B$81</f>
        <v>0</v>
      </c>
      <c r="CE22" s="14">
        <f>Sales[[#This Row],[Fixtures]]*Lookups!$B$84</f>
        <v>101551</v>
      </c>
      <c r="CF22" s="14">
        <f>Sales[[#This Row],[MsnryFP]]*Lookups!$B$82</f>
        <v>0</v>
      </c>
      <c r="CG22" s="14">
        <f>Sales[[#This Row],[PrefabFP]]*Lookups!$B$83</f>
        <v>42091.021999999997</v>
      </c>
      <c r="CH22" s="14">
        <f>Sales[[#This Row],[GarageArea]]*Lookups!$B$85</f>
        <v>29190.814272</v>
      </c>
      <c r="CI22" s="14">
        <f>SUM(Sales[[#This Row],[Days Prior Total]:[Mdl GarageArea]])</f>
        <v>632618.39409968723</v>
      </c>
      <c r="CJ22" s="14">
        <f>ROUND(Sales[[#This Row],[25Det]],-2)</f>
        <v>0</v>
      </c>
      <c r="CK22" s="14">
        <f>ROUND(SUM(Sales[[#This Row],[Mdl Qlty]:[Mdl GarageArea]])+Sales[[#This Row],[Mdl Res Intercept]]+Sales[[#This Row],[Days Prior Total]],-2)</f>
        <v>643300</v>
      </c>
      <c r="CL22" s="14">
        <f>ROUND(Sales[[#This Row],[Mdl Land Intercept]]+Sales[[#This Row],[Mdl LnAcres]],-2)</f>
        <v>-10700</v>
      </c>
      <c r="CM22" s="14">
        <f>Sales[[#This Row],[Unadj Res Value]]+Sales[[#This Row],[Unadj Det Value]]+Sales[[#This Row],[Unadj Land Value]]</f>
        <v>632600</v>
      </c>
      <c r="CN22" s="15">
        <f>Sales[[#This Row],[Unadj Total Value]]/Sales[[#This Row],[Price]]</f>
        <v>0.90500715307582258</v>
      </c>
      <c r="CO22" s="15">
        <f>(Sales[[#This Row],[Unadj Total Value]]-Sales[[#This Row],[24Final]])/Sales[[#This Row],[24Final]]</f>
        <v>6.363347120585428E-3</v>
      </c>
      <c r="CP22">
        <f>VLOOKUP(Sales[[#This Row],[TNbhd]],Lookups!$M$2:$P$4,4,FALSE)</f>
        <v>0.97570000000000001</v>
      </c>
      <c r="CQ22">
        <f>VLOOKUP(Sales[[#This Row],[Qlty]],Lookups!$M$6:$P$20,4,FALSE)</f>
        <v>1.0051000000000001</v>
      </c>
      <c r="CR22">
        <f>VLOOKUP(Sales[[#This Row],[Cnd]],Lookups!$R$6:$U$15,4,FALSE)</f>
        <v>0.98370000000000002</v>
      </c>
      <c r="CS22">
        <f>VLOOKUP(Sales[[#This Row],[LivArea Range]],Lookups!$R$23:$U$39,4,FALSE)</f>
        <v>0.99099999999999999</v>
      </c>
      <c r="CT22">
        <f>VLOOKUP(Sales[[#This Row],[Decade]],Lookups!$M$23:$P$35,4,FALSE)</f>
        <v>0.99060000000000004</v>
      </c>
      <c r="CU22">
        <f>Sales[[#This Row],[Nbhd Adj]]*0.95</f>
        <v>0.92691499999999993</v>
      </c>
      <c r="CV22">
        <f>Sales[[#This Row],[Nbhd Adj]]*Sales[[#This Row],[Quality Adj]]*Sales[[#This Row],[Condition Adj]]*Sales[[#This Row],[Living Area Adj]]*Sales[[#This Row],[Decade Adj]]*0.95</f>
        <v>0.89967123022071205</v>
      </c>
      <c r="CW22">
        <f>ROUND(SUM(Sales[[#This Row],[Mdl Qlty]:[Mdl GarageArea]])+Sales[[#This Row],[Mdl Res Intercept]]*Sales[[#This Row],[Res Adj ]],-2)</f>
        <v>662200</v>
      </c>
      <c r="CX22">
        <f>ROUND(Sales[[#This Row],[25Det]]*Sales[[#This Row],[Det/Nbhd Adj]],-2)</f>
        <v>0</v>
      </c>
      <c r="CY22">
        <f>Sales[[#This Row],[Adjusted Res]]+Sales[[#This Row],[Adj Det ]]</f>
        <v>662200</v>
      </c>
      <c r="CZ22">
        <f>ROUND((Sales[[#This Row],[Mdl Land Intercept]]+Sales[[#This Row],[Mdl LnAcres]])*Sales[[#This Row],[Det/Nbhd Adj]],-2)</f>
        <v>-9900</v>
      </c>
      <c r="DA22">
        <f>Sales[[#This Row],[Adjusted Impr Total]]+Sales[[#This Row],[Adjusted Land Total]]</f>
        <v>652300</v>
      </c>
      <c r="DB22">
        <f>IFERROR((Sales[[#This Row],[Adjusted Impr Total]]-Sales[[#This Row],[24Bldg]])/Sales[[#This Row],[24Bldg]],0)</f>
        <v>0.16461484347520225</v>
      </c>
      <c r="DC22">
        <f>(Sales[[#This Row],[Adjusted Land Total]]-Sales[[#This Row],[24Lnd]])/Sales[[#This Row],[24Lnd]]</f>
        <v>-1.165</v>
      </c>
      <c r="DD22">
        <f>(Sales[[#This Row],[Adjusted Total]]-Sales[[#This Row],[24Final]])/Sales[[#This Row],[24Final]]</f>
        <v>3.7702831689468662E-2</v>
      </c>
      <c r="DE22">
        <f>(Sales[[#This Row],[Adjusted Total]]+Sales[[#This Row],[Days Prior Total]])/Sales[[#This Row],[Price]]</f>
        <v>0.89366214490701001</v>
      </c>
    </row>
    <row r="23" spans="1:109" x14ac:dyDescent="0.3">
      <c r="A23">
        <v>2025</v>
      </c>
      <c r="B23">
        <v>18131743481</v>
      </c>
      <c r="C23">
        <v>-1.2378743560016174</v>
      </c>
      <c r="D23">
        <v>0.28999999999999998</v>
      </c>
      <c r="E23">
        <v>12771</v>
      </c>
      <c r="F23">
        <v>1</v>
      </c>
      <c r="G23" t="s">
        <v>89</v>
      </c>
      <c r="H23">
        <v>3041</v>
      </c>
      <c r="I23" t="s">
        <v>302</v>
      </c>
      <c r="J23" t="s">
        <v>110</v>
      </c>
      <c r="K23">
        <v>11</v>
      </c>
      <c r="L23">
        <v>259</v>
      </c>
      <c r="M23" t="s">
        <v>204</v>
      </c>
      <c r="N23" t="s">
        <v>50</v>
      </c>
      <c r="O23" t="s">
        <v>258</v>
      </c>
      <c r="P23">
        <v>2016</v>
      </c>
      <c r="Q23">
        <v>2016</v>
      </c>
      <c r="R23">
        <v>10</v>
      </c>
      <c r="S23">
        <v>8</v>
      </c>
      <c r="T23">
        <v>8</v>
      </c>
      <c r="U23">
        <v>1</v>
      </c>
      <c r="V23">
        <v>2580</v>
      </c>
      <c r="W23">
        <v>0</v>
      </c>
      <c r="X23">
        <v>0</v>
      </c>
      <c r="Y23">
        <v>0</v>
      </c>
      <c r="Z23">
        <v>0</v>
      </c>
      <c r="AA23">
        <v>0</v>
      </c>
      <c r="AB23">
        <v>2580</v>
      </c>
      <c r="AC23">
        <v>3000</v>
      </c>
      <c r="AD23">
        <v>3</v>
      </c>
      <c r="AF23" t="s">
        <v>275</v>
      </c>
      <c r="AG23" t="s">
        <v>111</v>
      </c>
      <c r="AH23" t="s">
        <v>314</v>
      </c>
      <c r="AI23">
        <v>0</v>
      </c>
      <c r="AJ23">
        <v>0</v>
      </c>
      <c r="AK23">
        <v>1</v>
      </c>
      <c r="AL23">
        <v>1</v>
      </c>
      <c r="AM23">
        <v>0</v>
      </c>
      <c r="AN23">
        <v>17</v>
      </c>
      <c r="AO23">
        <v>720</v>
      </c>
      <c r="AP23">
        <v>0</v>
      </c>
      <c r="AQ23">
        <v>720</v>
      </c>
      <c r="AR23">
        <v>0</v>
      </c>
      <c r="AS23">
        <v>0</v>
      </c>
      <c r="AT23">
        <v>0</v>
      </c>
      <c r="AU23">
        <v>0</v>
      </c>
      <c r="AV23">
        <v>100</v>
      </c>
      <c r="AW23">
        <v>100</v>
      </c>
      <c r="AX23">
        <v>599560</v>
      </c>
      <c r="AY23">
        <v>587569</v>
      </c>
      <c r="AZ23">
        <v>529</v>
      </c>
      <c r="BA23">
        <v>365</v>
      </c>
      <c r="BB23">
        <v>164</v>
      </c>
      <c r="BC23">
        <v>0</v>
      </c>
      <c r="BD23" s="6">
        <v>44763</v>
      </c>
      <c r="BE23" t="s">
        <v>219</v>
      </c>
      <c r="BF23">
        <v>710000</v>
      </c>
      <c r="BG23">
        <v>665472</v>
      </c>
      <c r="BH23" t="s">
        <v>198</v>
      </c>
      <c r="BI23">
        <v>30</v>
      </c>
      <c r="BJ23" t="s">
        <v>51</v>
      </c>
      <c r="BK23" t="s">
        <v>314</v>
      </c>
      <c r="BL23">
        <v>652100</v>
      </c>
      <c r="BM23">
        <v>90200</v>
      </c>
      <c r="BN23">
        <v>561900</v>
      </c>
      <c r="BO23">
        <v>44528</v>
      </c>
      <c r="BP23">
        <v>0.91845070422535213</v>
      </c>
      <c r="BQ23">
        <v>685530.47655255557</v>
      </c>
      <c r="BR23">
        <v>727655.88743007579</v>
      </c>
      <c r="BS23" s="7">
        <f>(BR23-BL23)/BL23</f>
        <v>0.11586549214855971</v>
      </c>
      <c r="BT23" s="14">
        <f>(Sales[[#This Row],[DP1]]*Lookups!$B$51)+(Sales[[#This Row],[DP2]]*Lookups!$B$52)+(Sales[[#This Row],[DP3]]*Lookups!$B$53)</f>
        <v>-42125.424456000008</v>
      </c>
      <c r="BU23" s="14">
        <f>Lookups!$B$48*0.5</f>
        <v>87214.824999999997</v>
      </c>
      <c r="BV23" s="14">
        <f>Lookups!$B$48*0.5</f>
        <v>87214.824999999997</v>
      </c>
      <c r="BW23" s="14">
        <f>Lookups!$B$49*Sales[[#This Row],[LnAcres]]</f>
        <v>-30981.328749357657</v>
      </c>
      <c r="BX23" s="14">
        <f>VLOOKUP(Sales[[#This Row],[Qlty]],Lookups!$A$54:$E$67,2,FALSE)</f>
        <v>46722.525125</v>
      </c>
      <c r="BY23" s="14">
        <f>VLOOKUP(Sales[[#This Row],[Cnd]],Lookups!$A$68:$E$76,2,FALSE)</f>
        <v>106557.38887</v>
      </c>
      <c r="BZ23" s="14">
        <f>Sales[[#This Row],[Age]]*Lookups!$B$77</f>
        <v>1476.09944</v>
      </c>
      <c r="CA23" s="14">
        <f>Sales[[#This Row],[MainFn]]*Lookups!$B$78</f>
        <v>178235.32422000001</v>
      </c>
      <c r="CB23" s="14">
        <f>Sales[[#This Row],[UpprFn]]*Lookups!$B$79</f>
        <v>0</v>
      </c>
      <c r="CC23" s="14">
        <f>Sales[[#This Row],[AddFn]]*Lookups!$B$80</f>
        <v>0</v>
      </c>
      <c r="CD23" s="14">
        <f>Sales[[#This Row],[Bsmt]]*Lookups!$B$81</f>
        <v>0</v>
      </c>
      <c r="CE23" s="14">
        <f>Sales[[#This Row],[Fixtures]]*Lookups!$B$84</f>
        <v>172636.7</v>
      </c>
      <c r="CF23" s="14">
        <f>Sales[[#This Row],[MsnryFP]]*Lookups!$B$82</f>
        <v>0</v>
      </c>
      <c r="CG23" s="14">
        <f>Sales[[#This Row],[PrefabFP]]*Lookups!$B$83</f>
        <v>42091.021999999997</v>
      </c>
      <c r="CH23" s="14">
        <f>Sales[[#This Row],[GarageArea]]*Lookups!$B$85</f>
        <v>36488.51784</v>
      </c>
      <c r="CI23" s="14">
        <f>SUM(Sales[[#This Row],[Days Prior Total]:[Mdl GarageArea]])</f>
        <v>685530.4742896423</v>
      </c>
      <c r="CJ23" s="14">
        <f>ROUND(Sales[[#This Row],[25Det]],-2)</f>
        <v>44500</v>
      </c>
      <c r="CK23" s="14">
        <f>ROUND(SUM(Sales[[#This Row],[Mdl Qlty]:[Mdl GarageArea]])+Sales[[#This Row],[Mdl Res Intercept]]+Sales[[#This Row],[Days Prior Total]],-2)</f>
        <v>629300</v>
      </c>
      <c r="CL23" s="14">
        <f>ROUND(Sales[[#This Row],[Mdl Land Intercept]]+Sales[[#This Row],[Mdl LnAcres]],-2)</f>
        <v>56200</v>
      </c>
      <c r="CM23" s="14">
        <f>Sales[[#This Row],[Unadj Res Value]]+Sales[[#This Row],[Unadj Det Value]]+Sales[[#This Row],[Unadj Land Value]]</f>
        <v>730000</v>
      </c>
      <c r="CN23" s="15">
        <f>Sales[[#This Row],[Unadj Total Value]]/Sales[[#This Row],[Price]]</f>
        <v>1.028169014084507</v>
      </c>
      <c r="CO23" s="15">
        <f>(Sales[[#This Row],[Unadj Total Value]]-Sales[[#This Row],[24Final]])/Sales[[#This Row],[24Final]]</f>
        <v>0.11946020548995553</v>
      </c>
      <c r="CP23">
        <f>VLOOKUP(Sales[[#This Row],[TNbhd]],Lookups!$M$2:$P$4,4,FALSE)</f>
        <v>0.97570000000000001</v>
      </c>
      <c r="CQ23">
        <f>VLOOKUP(Sales[[#This Row],[Qlty]],Lookups!$M$6:$P$20,4,FALSE)</f>
        <v>0.98329999999999995</v>
      </c>
      <c r="CR23">
        <f>VLOOKUP(Sales[[#This Row],[Cnd]],Lookups!$R$6:$U$15,4,FALSE)</f>
        <v>0.9748</v>
      </c>
      <c r="CS23">
        <f>VLOOKUP(Sales[[#This Row],[LivArea Range]],Lookups!$R$23:$U$39,4,FALSE)</f>
        <v>0.93310000000000004</v>
      </c>
      <c r="CT23">
        <f>VLOOKUP(Sales[[#This Row],[Decade]],Lookups!$M$23:$P$35,4,FALSE)</f>
        <v>0.99060000000000004</v>
      </c>
      <c r="CU23">
        <f>Sales[[#This Row],[Nbhd Adj]]*0.95</f>
        <v>0.92691499999999993</v>
      </c>
      <c r="CV23">
        <f>Sales[[#This Row],[Nbhd Adj]]*Sales[[#This Row],[Quality Adj]]*Sales[[#This Row],[Condition Adj]]*Sales[[#This Row],[Living Area Adj]]*Sales[[#This Row],[Decade Adj]]*0.95</f>
        <v>0.8212360076044285</v>
      </c>
      <c r="CW23">
        <f>ROUND(SUM(Sales[[#This Row],[Mdl Qlty]:[Mdl GarageArea]])+Sales[[#This Row],[Mdl Res Intercept]]*Sales[[#This Row],[Res Adj ]],-2)</f>
        <v>655800</v>
      </c>
      <c r="CX23">
        <f>ROUND(Sales[[#This Row],[25Det]]*Sales[[#This Row],[Det/Nbhd Adj]],-2)</f>
        <v>41300</v>
      </c>
      <c r="CY23">
        <f>Sales[[#This Row],[Adjusted Res]]+Sales[[#This Row],[Adj Det ]]</f>
        <v>697100</v>
      </c>
      <c r="CZ23">
        <f>ROUND((Sales[[#This Row],[Mdl Land Intercept]]+Sales[[#This Row],[Mdl LnAcres]])*Sales[[#This Row],[Det/Nbhd Adj]],-2)</f>
        <v>52100</v>
      </c>
      <c r="DA23">
        <f>Sales[[#This Row],[Adjusted Impr Total]]+Sales[[#This Row],[Adjusted Land Total]]</f>
        <v>749200</v>
      </c>
      <c r="DB23">
        <f>IFERROR((Sales[[#This Row],[Adjusted Impr Total]]-Sales[[#This Row],[24Bldg]])/Sales[[#This Row],[24Bldg]],0)</f>
        <v>0.24061220857803881</v>
      </c>
      <c r="DC23">
        <f>(Sales[[#This Row],[Adjusted Land Total]]-Sales[[#This Row],[24Lnd]])/Sales[[#This Row],[24Lnd]]</f>
        <v>-0.42239467849223949</v>
      </c>
      <c r="DD23">
        <f>(Sales[[#This Row],[Adjusted Total]]-Sales[[#This Row],[24Final]])/Sales[[#This Row],[24Final]]</f>
        <v>0.14890354240147216</v>
      </c>
      <c r="DE23">
        <f>(Sales[[#This Row],[Adjusted Total]]+Sales[[#This Row],[Days Prior Total]])/Sales[[#This Row],[Price]]</f>
        <v>0.99587968386478876</v>
      </c>
    </row>
    <row r="24" spans="1:109" x14ac:dyDescent="0.3">
      <c r="A24">
        <v>2025</v>
      </c>
      <c r="B24">
        <v>18131743496</v>
      </c>
      <c r="C24">
        <v>-1.1394342831883648</v>
      </c>
      <c r="D24">
        <v>0.32</v>
      </c>
      <c r="E24">
        <v>13832</v>
      </c>
      <c r="F24">
        <v>1</v>
      </c>
      <c r="G24" t="s">
        <v>89</v>
      </c>
      <c r="H24">
        <v>3041</v>
      </c>
      <c r="I24" t="s">
        <v>302</v>
      </c>
      <c r="J24" t="s">
        <v>110</v>
      </c>
      <c r="K24">
        <v>11</v>
      </c>
      <c r="L24">
        <v>259</v>
      </c>
      <c r="M24" t="s">
        <v>204</v>
      </c>
      <c r="N24" t="s">
        <v>50</v>
      </c>
      <c r="O24" t="s">
        <v>258</v>
      </c>
      <c r="P24">
        <v>2016</v>
      </c>
      <c r="Q24">
        <v>2016</v>
      </c>
      <c r="R24">
        <v>10</v>
      </c>
      <c r="S24">
        <v>8</v>
      </c>
      <c r="T24">
        <v>8</v>
      </c>
      <c r="U24">
        <v>2</v>
      </c>
      <c r="V24">
        <v>2000</v>
      </c>
      <c r="W24">
        <v>897</v>
      </c>
      <c r="X24">
        <v>0</v>
      </c>
      <c r="Y24">
        <v>0</v>
      </c>
      <c r="Z24">
        <v>0</v>
      </c>
      <c r="AA24">
        <v>0</v>
      </c>
      <c r="AB24">
        <v>2897</v>
      </c>
      <c r="AC24">
        <v>3000</v>
      </c>
      <c r="AD24">
        <v>3</v>
      </c>
      <c r="AE24" t="s">
        <v>132</v>
      </c>
      <c r="AF24" t="s">
        <v>275</v>
      </c>
      <c r="AG24" t="s">
        <v>111</v>
      </c>
      <c r="AH24" t="s">
        <v>314</v>
      </c>
      <c r="AI24">
        <v>0</v>
      </c>
      <c r="AJ24">
        <v>0</v>
      </c>
      <c r="AK24">
        <v>1</v>
      </c>
      <c r="AL24">
        <v>1</v>
      </c>
      <c r="AM24">
        <v>1</v>
      </c>
      <c r="AN24">
        <v>17</v>
      </c>
      <c r="AO24">
        <v>960</v>
      </c>
      <c r="AP24">
        <v>0</v>
      </c>
      <c r="AQ24">
        <v>960</v>
      </c>
      <c r="AR24">
        <v>0</v>
      </c>
      <c r="AS24">
        <v>0</v>
      </c>
      <c r="AT24">
        <v>0</v>
      </c>
      <c r="AU24">
        <v>0</v>
      </c>
      <c r="AV24">
        <v>100</v>
      </c>
      <c r="AW24">
        <v>100</v>
      </c>
      <c r="AX24">
        <v>628243</v>
      </c>
      <c r="AY24">
        <v>615678</v>
      </c>
      <c r="AZ24">
        <v>1036</v>
      </c>
      <c r="BA24">
        <v>365</v>
      </c>
      <c r="BB24">
        <v>365</v>
      </c>
      <c r="BC24">
        <v>306</v>
      </c>
      <c r="BD24" s="6">
        <v>44256</v>
      </c>
      <c r="BE24" t="s">
        <v>142</v>
      </c>
      <c r="BF24">
        <v>577000</v>
      </c>
      <c r="BG24">
        <v>577000</v>
      </c>
      <c r="BH24" t="s">
        <v>198</v>
      </c>
      <c r="BI24">
        <v>30</v>
      </c>
      <c r="BJ24" t="s">
        <v>51</v>
      </c>
      <c r="BK24" t="s">
        <v>314</v>
      </c>
      <c r="BL24">
        <v>643000</v>
      </c>
      <c r="BM24">
        <v>95800</v>
      </c>
      <c r="BN24">
        <v>547200</v>
      </c>
      <c r="BO24">
        <v>0</v>
      </c>
      <c r="BP24">
        <v>1.1143847487001732</v>
      </c>
      <c r="BQ24">
        <v>639667.58052791201</v>
      </c>
      <c r="BR24">
        <v>757096.26844973816</v>
      </c>
      <c r="BS24" s="7">
        <f>(BR24-BL24)/BL24</f>
        <v>0.17744365233240772</v>
      </c>
      <c r="BT24" s="14">
        <f>(Sales[[#This Row],[DP1]]*Lookups!$B$51)+(Sales[[#This Row],[DP2]]*Lookups!$B$52)+(Sales[[#This Row],[DP3]]*Lookups!$B$53)</f>
        <v>-117428.68671000001</v>
      </c>
      <c r="BU24" s="14">
        <f>Lookups!$B$48*0.5</f>
        <v>87214.824999999997</v>
      </c>
      <c r="BV24" s="14">
        <f>Lookups!$B$48*0.5</f>
        <v>87214.824999999997</v>
      </c>
      <c r="BW24" s="14">
        <f>Lookups!$B$49*Sales[[#This Row],[LnAcres]]</f>
        <v>-28517.585766758784</v>
      </c>
      <c r="BX24" s="14">
        <f>VLOOKUP(Sales[[#This Row],[Qlty]],Lookups!$A$54:$E$67,2,FALSE)</f>
        <v>46722.525125</v>
      </c>
      <c r="BY24" s="14">
        <f>VLOOKUP(Sales[[#This Row],[Cnd]],Lookups!$A$68:$E$76,2,FALSE)</f>
        <v>106557.38887</v>
      </c>
      <c r="BZ24" s="14">
        <f>Sales[[#This Row],[Age]]*Lookups!$B$77</f>
        <v>1476.09944</v>
      </c>
      <c r="CA24" s="14">
        <f>Sales[[#This Row],[MainFn]]*Lookups!$B$78</f>
        <v>138166.91800000001</v>
      </c>
      <c r="CB24" s="14">
        <f>Sales[[#This Row],[UpprFn]]*Lookups!$B$79</f>
        <v>54882.204975000001</v>
      </c>
      <c r="CC24" s="14">
        <f>Sales[[#This Row],[AddFn]]*Lookups!$B$80</f>
        <v>0</v>
      </c>
      <c r="CD24" s="14">
        <f>Sales[[#This Row],[Bsmt]]*Lookups!$B$81</f>
        <v>0</v>
      </c>
      <c r="CE24" s="14">
        <f>Sales[[#This Row],[Fixtures]]*Lookups!$B$84</f>
        <v>172636.7</v>
      </c>
      <c r="CF24" s="14">
        <f>Sales[[#This Row],[MsnryFP]]*Lookups!$B$82</f>
        <v>0</v>
      </c>
      <c r="CG24" s="14">
        <f>Sales[[#This Row],[PrefabFP]]*Lookups!$B$83</f>
        <v>42091.021999999997</v>
      </c>
      <c r="CH24" s="14">
        <f>Sales[[#This Row],[GarageArea]]*Lookups!$B$85</f>
        <v>48651.357120000001</v>
      </c>
      <c r="CI24" s="14">
        <f>SUM(Sales[[#This Row],[Days Prior Total]:[Mdl GarageArea]])</f>
        <v>639667.59305324126</v>
      </c>
      <c r="CJ24" s="14">
        <f>ROUND(Sales[[#This Row],[25Det]],-2)</f>
        <v>0</v>
      </c>
      <c r="CK24" s="14">
        <f>ROUND(SUM(Sales[[#This Row],[Mdl Qlty]:[Mdl GarageArea]])+Sales[[#This Row],[Mdl Res Intercept]]+Sales[[#This Row],[Days Prior Total]],-2)</f>
        <v>581000</v>
      </c>
      <c r="CL24" s="14">
        <f>ROUND(Sales[[#This Row],[Mdl Land Intercept]]+Sales[[#This Row],[Mdl LnAcres]],-2)</f>
        <v>58700</v>
      </c>
      <c r="CM24" s="14">
        <f>Sales[[#This Row],[Unadj Res Value]]+Sales[[#This Row],[Unadj Det Value]]+Sales[[#This Row],[Unadj Land Value]]</f>
        <v>639700</v>
      </c>
      <c r="CN24" s="15">
        <f>Sales[[#This Row],[Unadj Total Value]]/Sales[[#This Row],[Price]]</f>
        <v>1.1086655112651647</v>
      </c>
      <c r="CO24" s="15">
        <f>(Sales[[#This Row],[Unadj Total Value]]-Sales[[#This Row],[24Final]])/Sales[[#This Row],[24Final]]</f>
        <v>-5.1321928460342147E-3</v>
      </c>
      <c r="CP24">
        <f>VLOOKUP(Sales[[#This Row],[TNbhd]],Lookups!$M$2:$P$4,4,FALSE)</f>
        <v>0.97570000000000001</v>
      </c>
      <c r="CQ24">
        <f>VLOOKUP(Sales[[#This Row],[Qlty]],Lookups!$M$6:$P$20,4,FALSE)</f>
        <v>0.98329999999999995</v>
      </c>
      <c r="CR24">
        <f>VLOOKUP(Sales[[#This Row],[Cnd]],Lookups!$R$6:$U$15,4,FALSE)</f>
        <v>0.9748</v>
      </c>
      <c r="CS24">
        <f>VLOOKUP(Sales[[#This Row],[LivArea Range]],Lookups!$R$23:$U$39,4,FALSE)</f>
        <v>0.93310000000000004</v>
      </c>
      <c r="CT24">
        <f>VLOOKUP(Sales[[#This Row],[Decade]],Lookups!$M$23:$P$35,4,FALSE)</f>
        <v>0.99060000000000004</v>
      </c>
      <c r="CU24">
        <f>Sales[[#This Row],[Nbhd Adj]]*0.95</f>
        <v>0.92691499999999993</v>
      </c>
      <c r="CV24">
        <f>Sales[[#This Row],[Nbhd Adj]]*Sales[[#This Row],[Quality Adj]]*Sales[[#This Row],[Condition Adj]]*Sales[[#This Row],[Living Area Adj]]*Sales[[#This Row],[Decade Adj]]*0.95</f>
        <v>0.8212360076044285</v>
      </c>
      <c r="CW24">
        <f>ROUND(SUM(Sales[[#This Row],[Mdl Qlty]:[Mdl GarageArea]])+Sales[[#This Row],[Mdl Res Intercept]]*Sales[[#This Row],[Res Adj ]],-2)</f>
        <v>682800</v>
      </c>
      <c r="CX24">
        <f>ROUND(Sales[[#This Row],[25Det]]*Sales[[#This Row],[Det/Nbhd Adj]],-2)</f>
        <v>0</v>
      </c>
      <c r="CY24">
        <f>Sales[[#This Row],[Adjusted Res]]+Sales[[#This Row],[Adj Det ]]</f>
        <v>682800</v>
      </c>
      <c r="CZ24">
        <f>ROUND((Sales[[#This Row],[Mdl Land Intercept]]+Sales[[#This Row],[Mdl LnAcres]])*Sales[[#This Row],[Det/Nbhd Adj]],-2)</f>
        <v>54400</v>
      </c>
      <c r="DA24">
        <f>Sales[[#This Row],[Adjusted Impr Total]]+Sales[[#This Row],[Adjusted Land Total]]</f>
        <v>737200</v>
      </c>
      <c r="DB24">
        <f>IFERROR((Sales[[#This Row],[Adjusted Impr Total]]-Sales[[#This Row],[24Bldg]])/Sales[[#This Row],[24Bldg]],0)</f>
        <v>0.24780701754385964</v>
      </c>
      <c r="DC24">
        <f>(Sales[[#This Row],[Adjusted Land Total]]-Sales[[#This Row],[24Lnd]])/Sales[[#This Row],[24Lnd]]</f>
        <v>-0.43215031315240082</v>
      </c>
      <c r="DD24">
        <f>(Sales[[#This Row],[Adjusted Total]]-Sales[[#This Row],[24Final]])/Sales[[#This Row],[24Final]]</f>
        <v>0.14650077760497668</v>
      </c>
      <c r="DE24">
        <f>(Sales[[#This Row],[Adjusted Total]]+Sales[[#This Row],[Days Prior Total]])/Sales[[#This Row],[Price]]</f>
        <v>1.0741270594280763</v>
      </c>
    </row>
    <row r="25" spans="1:109" x14ac:dyDescent="0.3">
      <c r="A25">
        <v>2025</v>
      </c>
      <c r="B25">
        <v>18131923410</v>
      </c>
      <c r="C25">
        <v>-0.75502258427803282</v>
      </c>
      <c r="D25">
        <v>0.47</v>
      </c>
      <c r="E25">
        <v>20527</v>
      </c>
      <c r="F25">
        <v>1</v>
      </c>
      <c r="G25" t="s">
        <v>89</v>
      </c>
      <c r="H25" t="s">
        <v>203</v>
      </c>
      <c r="I25" t="s">
        <v>302</v>
      </c>
      <c r="J25" t="s">
        <v>26</v>
      </c>
      <c r="K25">
        <v>11</v>
      </c>
      <c r="L25">
        <v>259</v>
      </c>
      <c r="M25" t="s">
        <v>204</v>
      </c>
      <c r="N25" t="s">
        <v>274</v>
      </c>
      <c r="O25" t="s">
        <v>76</v>
      </c>
      <c r="P25">
        <v>2015</v>
      </c>
      <c r="Q25">
        <v>2015</v>
      </c>
      <c r="R25">
        <v>10</v>
      </c>
      <c r="S25">
        <v>9</v>
      </c>
      <c r="T25">
        <v>9</v>
      </c>
      <c r="U25">
        <v>1</v>
      </c>
      <c r="V25">
        <v>2280</v>
      </c>
      <c r="W25">
        <v>0</v>
      </c>
      <c r="X25">
        <v>0</v>
      </c>
      <c r="Y25">
        <v>1430</v>
      </c>
      <c r="Z25">
        <v>1246</v>
      </c>
      <c r="AA25">
        <v>184</v>
      </c>
      <c r="AB25">
        <v>3526</v>
      </c>
      <c r="AC25">
        <v>4000</v>
      </c>
      <c r="AD25">
        <v>3</v>
      </c>
      <c r="AE25" t="s">
        <v>132</v>
      </c>
      <c r="AF25" t="s">
        <v>275</v>
      </c>
      <c r="AG25" t="s">
        <v>111</v>
      </c>
      <c r="AH25" t="s">
        <v>314</v>
      </c>
      <c r="AI25">
        <v>0</v>
      </c>
      <c r="AJ25">
        <v>0</v>
      </c>
      <c r="AK25">
        <v>1</v>
      </c>
      <c r="AL25">
        <v>0</v>
      </c>
      <c r="AM25">
        <v>1</v>
      </c>
      <c r="AN25">
        <v>15</v>
      </c>
      <c r="AO25">
        <v>1228</v>
      </c>
      <c r="AP25">
        <v>0</v>
      </c>
      <c r="AQ25">
        <v>1228</v>
      </c>
      <c r="AR25">
        <v>0</v>
      </c>
      <c r="AS25">
        <v>336</v>
      </c>
      <c r="AT25">
        <v>0</v>
      </c>
      <c r="AU25">
        <v>0</v>
      </c>
      <c r="AV25">
        <v>100</v>
      </c>
      <c r="AW25">
        <v>100</v>
      </c>
      <c r="AX25">
        <v>943900</v>
      </c>
      <c r="AY25">
        <v>925022</v>
      </c>
      <c r="AZ25">
        <v>395</v>
      </c>
      <c r="BA25">
        <v>365</v>
      </c>
      <c r="BB25">
        <v>30</v>
      </c>
      <c r="BC25">
        <v>0</v>
      </c>
      <c r="BD25" s="6">
        <v>44897</v>
      </c>
      <c r="BE25" t="s">
        <v>221</v>
      </c>
      <c r="BF25">
        <v>960000</v>
      </c>
      <c r="BG25">
        <v>960000</v>
      </c>
      <c r="BH25" t="s">
        <v>198</v>
      </c>
      <c r="BI25">
        <v>30</v>
      </c>
      <c r="BJ25" t="s">
        <v>51</v>
      </c>
      <c r="BK25" t="s">
        <v>314</v>
      </c>
      <c r="BL25">
        <v>653000</v>
      </c>
      <c r="BM25">
        <v>117600</v>
      </c>
      <c r="BN25">
        <v>535400</v>
      </c>
      <c r="BO25">
        <v>0</v>
      </c>
      <c r="BP25">
        <v>0.6802083333333333</v>
      </c>
      <c r="BQ25">
        <v>934312.27501255681</v>
      </c>
      <c r="BR25">
        <v>989187.0550312968</v>
      </c>
      <c r="BS25" s="7">
        <f>(BR25-BL25)/BL25</f>
        <v>0.51483469376921409</v>
      </c>
      <c r="BT25" s="14">
        <f>(Sales[[#This Row],[DP1]]*Lookups!$B$51)+(Sales[[#This Row],[DP2]]*Lookups!$B$52)+(Sales[[#This Row],[DP3]]*Lookups!$B$53)</f>
        <v>-54874.793620000004</v>
      </c>
      <c r="BU25" s="14">
        <f>Lookups!$B$48*0.5</f>
        <v>87214.824999999997</v>
      </c>
      <c r="BV25" s="14">
        <f>Lookups!$B$48*0.5</f>
        <v>87214.824999999997</v>
      </c>
      <c r="BW25" s="14">
        <f>Lookups!$B$49*Sales[[#This Row],[LnAcres]]</f>
        <v>-18896.588965832627</v>
      </c>
      <c r="BX25" s="14">
        <f>VLOOKUP(Sales[[#This Row],[Qlty]],Lookups!$A$54:$E$67,2,FALSE)</f>
        <v>243340.36395999999</v>
      </c>
      <c r="BY25" s="14">
        <f>VLOOKUP(Sales[[#This Row],[Cnd]],Lookups!$A$68:$E$76,2,FALSE)</f>
        <v>133581.64413</v>
      </c>
      <c r="BZ25" s="14">
        <f>Sales[[#This Row],[Age]]*Lookups!$B$77</f>
        <v>1660.61187</v>
      </c>
      <c r="CA25" s="14">
        <f>Sales[[#This Row],[MainFn]]*Lookups!$B$78</f>
        <v>157510.28652000002</v>
      </c>
      <c r="CB25" s="14">
        <f>Sales[[#This Row],[UpprFn]]*Lookups!$B$79</f>
        <v>0</v>
      </c>
      <c r="CC25" s="14">
        <f>Sales[[#This Row],[AddFn]]*Lookups!$B$80</f>
        <v>0</v>
      </c>
      <c r="CD25" s="14">
        <f>Sales[[#This Row],[Bsmt]]*Lookups!$B$81</f>
        <v>40910.380939999995</v>
      </c>
      <c r="CE25" s="14">
        <f>Sales[[#This Row],[Fixtures]]*Lookups!$B$84</f>
        <v>152326.5</v>
      </c>
      <c r="CF25" s="14">
        <f>Sales[[#This Row],[MsnryFP]]*Lookups!$B$82</f>
        <v>0</v>
      </c>
      <c r="CG25" s="14">
        <f>Sales[[#This Row],[PrefabFP]]*Lookups!$B$83</f>
        <v>42091.021999999997</v>
      </c>
      <c r="CH25" s="14">
        <f>Sales[[#This Row],[GarageArea]]*Lookups!$B$85</f>
        <v>62233.194316000001</v>
      </c>
      <c r="CI25" s="14">
        <f>SUM(Sales[[#This Row],[Days Prior Total]:[Mdl GarageArea]])</f>
        <v>934312.27115016733</v>
      </c>
      <c r="CJ25" s="14">
        <f>ROUND(Sales[[#This Row],[25Det]],-2)</f>
        <v>0</v>
      </c>
      <c r="CK25" s="14">
        <f>ROUND(SUM(Sales[[#This Row],[Mdl Qlty]:[Mdl GarageArea]])+Sales[[#This Row],[Mdl Res Intercept]]+Sales[[#This Row],[Days Prior Total]],-2)</f>
        <v>866000</v>
      </c>
      <c r="CL25" s="14">
        <f>ROUND(Sales[[#This Row],[Mdl Land Intercept]]+Sales[[#This Row],[Mdl LnAcres]],-2)</f>
        <v>68300</v>
      </c>
      <c r="CM25" s="14">
        <f>Sales[[#This Row],[Unadj Res Value]]+Sales[[#This Row],[Unadj Det Value]]+Sales[[#This Row],[Unadj Land Value]]</f>
        <v>934300</v>
      </c>
      <c r="CN25" s="15">
        <f>Sales[[#This Row],[Unadj Total Value]]/Sales[[#This Row],[Price]]</f>
        <v>0.9732291666666667</v>
      </c>
      <c r="CO25" s="15">
        <f>(Sales[[#This Row],[Unadj Total Value]]-Sales[[#This Row],[24Final]])/Sales[[#This Row],[24Final]]</f>
        <v>0.430781010719755</v>
      </c>
      <c r="CP25">
        <f>VLOOKUP(Sales[[#This Row],[TNbhd]],Lookups!$M$2:$P$4,4,FALSE)</f>
        <v>0.97570000000000001</v>
      </c>
      <c r="CQ25">
        <f>VLOOKUP(Sales[[#This Row],[Qlty]],Lookups!$M$6:$P$20,4,FALSE)</f>
        <v>0.99519999999999997</v>
      </c>
      <c r="CR25">
        <f>VLOOKUP(Sales[[#This Row],[Cnd]],Lookups!$R$6:$U$15,4,FALSE)</f>
        <v>0.98370000000000002</v>
      </c>
      <c r="CS25">
        <f>VLOOKUP(Sales[[#This Row],[LivArea Range]],Lookups!$R$23:$U$39,4,FALSE)</f>
        <v>1.034</v>
      </c>
      <c r="CT25">
        <f>VLOOKUP(Sales[[#This Row],[Decade]],Lookups!$M$23:$P$35,4,FALSE)</f>
        <v>0.99060000000000004</v>
      </c>
      <c r="CU25">
        <f>Sales[[#This Row],[Nbhd Adj]]*0.95</f>
        <v>0.92691499999999993</v>
      </c>
      <c r="CV25">
        <f>Sales[[#This Row],[Nbhd Adj]]*Sales[[#This Row],[Quality Adj]]*Sales[[#This Row],[Condition Adj]]*Sales[[#This Row],[Living Area Adj]]*Sales[[#This Row],[Decade Adj]]*0.95</f>
        <v>0.92946236936164883</v>
      </c>
      <c r="CW25">
        <f>ROUND(SUM(Sales[[#This Row],[Mdl Qlty]:[Mdl GarageArea]])+Sales[[#This Row],[Mdl Res Intercept]]*Sales[[#This Row],[Res Adj ]],-2)</f>
        <v>914700</v>
      </c>
      <c r="CX25">
        <f>ROUND(Sales[[#This Row],[25Det]]*Sales[[#This Row],[Det/Nbhd Adj]],-2)</f>
        <v>0</v>
      </c>
      <c r="CY25">
        <f>Sales[[#This Row],[Adjusted Res]]+Sales[[#This Row],[Adj Det ]]</f>
        <v>914700</v>
      </c>
      <c r="CZ25">
        <f>ROUND((Sales[[#This Row],[Mdl Land Intercept]]+Sales[[#This Row],[Mdl LnAcres]])*Sales[[#This Row],[Det/Nbhd Adj]],-2)</f>
        <v>63300</v>
      </c>
      <c r="DA25">
        <f>Sales[[#This Row],[Adjusted Impr Total]]+Sales[[#This Row],[Adjusted Land Total]]</f>
        <v>978000</v>
      </c>
      <c r="DB25">
        <f>IFERROR((Sales[[#This Row],[Adjusted Impr Total]]-Sales[[#This Row],[24Bldg]])/Sales[[#This Row],[24Bldg]],0)</f>
        <v>0.70844228614120286</v>
      </c>
      <c r="DC25">
        <f>(Sales[[#This Row],[Adjusted Land Total]]-Sales[[#This Row],[24Lnd]])/Sales[[#This Row],[24Lnd]]</f>
        <v>-0.46173469387755101</v>
      </c>
      <c r="DD25">
        <f>(Sales[[#This Row],[Adjusted Total]]-Sales[[#This Row],[24Final]])/Sales[[#This Row],[24Final]]</f>
        <v>0.49770290964777947</v>
      </c>
      <c r="DE25">
        <f>(Sales[[#This Row],[Adjusted Total]]+Sales[[#This Row],[Days Prior Total]])/Sales[[#This Row],[Price]]</f>
        <v>0.96158875664583332</v>
      </c>
    </row>
    <row r="26" spans="1:109" x14ac:dyDescent="0.3">
      <c r="A26">
        <v>2025</v>
      </c>
      <c r="B26">
        <v>18131634515</v>
      </c>
      <c r="C26">
        <v>-0.96758402626170559</v>
      </c>
      <c r="D26">
        <v>0.38</v>
      </c>
      <c r="E26">
        <v>16362</v>
      </c>
      <c r="F26">
        <v>5</v>
      </c>
      <c r="G26" t="s">
        <v>89</v>
      </c>
      <c r="H26" t="s">
        <v>203</v>
      </c>
      <c r="I26" t="s">
        <v>302</v>
      </c>
      <c r="J26" t="s">
        <v>26</v>
      </c>
      <c r="K26">
        <v>11</v>
      </c>
      <c r="L26">
        <v>259</v>
      </c>
      <c r="M26" t="s">
        <v>204</v>
      </c>
      <c r="N26" t="s">
        <v>189</v>
      </c>
      <c r="O26" t="s">
        <v>76</v>
      </c>
      <c r="P26">
        <v>2015</v>
      </c>
      <c r="Q26">
        <v>2015</v>
      </c>
      <c r="R26">
        <v>10</v>
      </c>
      <c r="S26">
        <v>9</v>
      </c>
      <c r="T26">
        <v>9</v>
      </c>
      <c r="U26">
        <v>1</v>
      </c>
      <c r="V26">
        <v>2475</v>
      </c>
      <c r="W26">
        <v>0</v>
      </c>
      <c r="X26">
        <v>274</v>
      </c>
      <c r="Y26">
        <v>0</v>
      </c>
      <c r="Z26">
        <v>0</v>
      </c>
      <c r="AA26">
        <v>0</v>
      </c>
      <c r="AB26">
        <v>2749</v>
      </c>
      <c r="AC26">
        <v>3000</v>
      </c>
      <c r="AD26">
        <v>3</v>
      </c>
      <c r="AF26" t="s">
        <v>275</v>
      </c>
      <c r="AG26" t="s">
        <v>111</v>
      </c>
      <c r="AH26" t="s">
        <v>314</v>
      </c>
      <c r="AI26">
        <v>0</v>
      </c>
      <c r="AJ26">
        <v>0</v>
      </c>
      <c r="AK26">
        <v>1</v>
      </c>
      <c r="AL26">
        <v>1</v>
      </c>
      <c r="AM26">
        <v>1</v>
      </c>
      <c r="AN26">
        <v>16</v>
      </c>
      <c r="AO26">
        <v>814</v>
      </c>
      <c r="AP26">
        <v>0</v>
      </c>
      <c r="AQ26">
        <v>814</v>
      </c>
      <c r="AR26">
        <v>0</v>
      </c>
      <c r="AS26">
        <v>0</v>
      </c>
      <c r="AT26">
        <v>0</v>
      </c>
      <c r="AU26">
        <v>0</v>
      </c>
      <c r="AV26">
        <v>100</v>
      </c>
      <c r="AW26">
        <v>100</v>
      </c>
      <c r="AX26">
        <v>708852</v>
      </c>
      <c r="AY26">
        <v>694675</v>
      </c>
      <c r="AZ26">
        <v>1035</v>
      </c>
      <c r="BA26">
        <v>365</v>
      </c>
      <c r="BB26">
        <v>365</v>
      </c>
      <c r="BC26">
        <v>305</v>
      </c>
      <c r="BD26" s="6">
        <v>44257</v>
      </c>
      <c r="BE26" t="s">
        <v>222</v>
      </c>
      <c r="BF26">
        <v>750000</v>
      </c>
      <c r="BG26">
        <v>715817</v>
      </c>
      <c r="BH26" t="s">
        <v>198</v>
      </c>
      <c r="BI26">
        <v>30</v>
      </c>
      <c r="BJ26" t="s">
        <v>51</v>
      </c>
      <c r="BK26" t="s">
        <v>314</v>
      </c>
      <c r="BL26">
        <v>673900</v>
      </c>
      <c r="BM26">
        <v>105600</v>
      </c>
      <c r="BN26">
        <v>568300</v>
      </c>
      <c r="BO26">
        <v>34183</v>
      </c>
      <c r="BP26">
        <v>0.8985333333333333</v>
      </c>
      <c r="BQ26">
        <v>739739.06350865995</v>
      </c>
      <c r="BR26">
        <v>856859.16538226337</v>
      </c>
      <c r="BS26" s="7">
        <f>(BR26-BL26)/BL26</f>
        <v>0.27149304849720041</v>
      </c>
      <c r="BT26" s="14">
        <f>(Sales[[#This Row],[DP1]]*Lookups!$B$51)+(Sales[[#This Row],[DP2]]*Lookups!$B$52)+(Sales[[#This Row],[DP3]]*Lookups!$B$53)</f>
        <v>-117120.10071000001</v>
      </c>
      <c r="BU26" s="14">
        <f>Lookups!$B$48*0.5</f>
        <v>87214.824999999997</v>
      </c>
      <c r="BV26" s="14">
        <f>Lookups!$B$48*0.5</f>
        <v>87214.824999999997</v>
      </c>
      <c r="BW26" s="14">
        <f>Lookups!$B$49*Sales[[#This Row],[LnAcres]]</f>
        <v>-24216.544001337923</v>
      </c>
      <c r="BX26" s="14">
        <f>VLOOKUP(Sales[[#This Row],[Qlty]],Lookups!$A$54:$E$67,2,FALSE)</f>
        <v>141724.10243</v>
      </c>
      <c r="BY26" s="14">
        <f>VLOOKUP(Sales[[#This Row],[Cnd]],Lookups!$A$68:$E$76,2,FALSE)</f>
        <v>133581.64413</v>
      </c>
      <c r="BZ26" s="14">
        <f>Sales[[#This Row],[Age]]*Lookups!$B$77</f>
        <v>1660.61187</v>
      </c>
      <c r="CA26" s="14">
        <f>Sales[[#This Row],[MainFn]]*Lookups!$B$78</f>
        <v>170981.561025</v>
      </c>
      <c r="CB26" s="14">
        <f>Sales[[#This Row],[UpprFn]]*Lookups!$B$79</f>
        <v>0</v>
      </c>
      <c r="CC26" s="14">
        <f>Sales[[#This Row],[AddFn]]*Lookups!$B$80</f>
        <v>12873.232126000001</v>
      </c>
      <c r="CD26" s="14">
        <f>Sales[[#This Row],[Bsmt]]*Lookups!$B$81</f>
        <v>0</v>
      </c>
      <c r="CE26" s="14">
        <f>Sales[[#This Row],[Fixtures]]*Lookups!$B$84</f>
        <v>162481.60000000001</v>
      </c>
      <c r="CF26" s="14">
        <f>Sales[[#This Row],[MsnryFP]]*Lookups!$B$82</f>
        <v>0</v>
      </c>
      <c r="CG26" s="14">
        <f>Sales[[#This Row],[PrefabFP]]*Lookups!$B$83</f>
        <v>42091.021999999997</v>
      </c>
      <c r="CH26" s="14">
        <f>Sales[[#This Row],[GarageArea]]*Lookups!$B$85</f>
        <v>41252.296558000002</v>
      </c>
      <c r="CI26" s="14">
        <f>SUM(Sales[[#This Row],[Days Prior Total]:[Mdl GarageArea]])</f>
        <v>739739.07542766212</v>
      </c>
      <c r="CJ26" s="14">
        <f>ROUND(Sales[[#This Row],[25Det]],-2)</f>
        <v>34200</v>
      </c>
      <c r="CK26" s="14">
        <f>ROUND(SUM(Sales[[#This Row],[Mdl Qlty]:[Mdl GarageArea]])+Sales[[#This Row],[Mdl Res Intercept]]+Sales[[#This Row],[Days Prior Total]],-2)</f>
        <v>676700</v>
      </c>
      <c r="CL26" s="14">
        <f>ROUND(Sales[[#This Row],[Mdl Land Intercept]]+Sales[[#This Row],[Mdl LnAcres]],-2)</f>
        <v>63000</v>
      </c>
      <c r="CM26" s="14">
        <f>Sales[[#This Row],[Unadj Res Value]]+Sales[[#This Row],[Unadj Det Value]]+Sales[[#This Row],[Unadj Land Value]]</f>
        <v>773900</v>
      </c>
      <c r="CN26" s="15">
        <f>Sales[[#This Row],[Unadj Total Value]]/Sales[[#This Row],[Price]]</f>
        <v>1.0318666666666667</v>
      </c>
      <c r="CO26" s="15">
        <f>(Sales[[#This Row],[Unadj Total Value]]-Sales[[#This Row],[24Final]])/Sales[[#This Row],[24Final]]</f>
        <v>0.14838996883810654</v>
      </c>
      <c r="CP26">
        <f>VLOOKUP(Sales[[#This Row],[TNbhd]],Lookups!$M$2:$P$4,4,FALSE)</f>
        <v>0.97570000000000001</v>
      </c>
      <c r="CQ26">
        <f>VLOOKUP(Sales[[#This Row],[Qlty]],Lookups!$M$6:$P$20,4,FALSE)</f>
        <v>1.0051000000000001</v>
      </c>
      <c r="CR26">
        <f>VLOOKUP(Sales[[#This Row],[Cnd]],Lookups!$R$6:$U$15,4,FALSE)</f>
        <v>0.98370000000000002</v>
      </c>
      <c r="CS26">
        <f>VLOOKUP(Sales[[#This Row],[LivArea Range]],Lookups!$R$23:$U$39,4,FALSE)</f>
        <v>0.93310000000000004</v>
      </c>
      <c r="CT26">
        <f>VLOOKUP(Sales[[#This Row],[Decade]],Lookups!$M$23:$P$35,4,FALSE)</f>
        <v>0.99060000000000004</v>
      </c>
      <c r="CU26">
        <f>Sales[[#This Row],[Nbhd Adj]]*0.95</f>
        <v>0.92691499999999993</v>
      </c>
      <c r="CV26">
        <f>Sales[[#This Row],[Nbhd Adj]]*Sales[[#This Row],[Quality Adj]]*Sales[[#This Row],[Condition Adj]]*Sales[[#This Row],[Living Area Adj]]*Sales[[#This Row],[Decade Adj]]*0.95</f>
        <v>0.84710718962557663</v>
      </c>
      <c r="CW26">
        <f>ROUND(SUM(Sales[[#This Row],[Mdl Qlty]:[Mdl GarageArea]])+Sales[[#This Row],[Mdl Res Intercept]]*Sales[[#This Row],[Res Adj ]],-2)</f>
        <v>780500</v>
      </c>
      <c r="CX26">
        <f>ROUND(Sales[[#This Row],[25Det]]*Sales[[#This Row],[Det/Nbhd Adj]],-2)</f>
        <v>31700</v>
      </c>
      <c r="CY26">
        <f>Sales[[#This Row],[Adjusted Res]]+Sales[[#This Row],[Adj Det ]]</f>
        <v>812200</v>
      </c>
      <c r="CZ26">
        <f>ROUND((Sales[[#This Row],[Mdl Land Intercept]]+Sales[[#This Row],[Mdl LnAcres]])*Sales[[#This Row],[Det/Nbhd Adj]],-2)</f>
        <v>58400</v>
      </c>
      <c r="DA26">
        <f>Sales[[#This Row],[Adjusted Impr Total]]+Sales[[#This Row],[Adjusted Land Total]]</f>
        <v>870600</v>
      </c>
      <c r="DB26">
        <f>IFERROR((Sales[[#This Row],[Adjusted Impr Total]]-Sales[[#This Row],[24Bldg]])/Sales[[#This Row],[24Bldg]],0)</f>
        <v>0.4291747316558156</v>
      </c>
      <c r="DC26">
        <f>(Sales[[#This Row],[Adjusted Land Total]]-Sales[[#This Row],[24Lnd]])/Sales[[#This Row],[24Lnd]]</f>
        <v>-0.44696969696969696</v>
      </c>
      <c r="DD26">
        <f>(Sales[[#This Row],[Adjusted Total]]-Sales[[#This Row],[24Final]])/Sales[[#This Row],[24Final]]</f>
        <v>0.29188306870455555</v>
      </c>
      <c r="DE26">
        <f>(Sales[[#This Row],[Adjusted Total]]+Sales[[#This Row],[Days Prior Total]])/Sales[[#This Row],[Price]]</f>
        <v>1.00463986572</v>
      </c>
    </row>
    <row r="27" spans="1:109" x14ac:dyDescent="0.3">
      <c r="A27">
        <v>2025</v>
      </c>
      <c r="B27">
        <v>18131743488</v>
      </c>
      <c r="C27">
        <v>-1.2729656758128873</v>
      </c>
      <c r="D27">
        <v>0.28000000000000003</v>
      </c>
      <c r="E27">
        <v>12287</v>
      </c>
      <c r="F27">
        <v>1</v>
      </c>
      <c r="G27" t="s">
        <v>89</v>
      </c>
      <c r="H27">
        <v>3041</v>
      </c>
      <c r="I27" t="s">
        <v>302</v>
      </c>
      <c r="J27" t="s">
        <v>110</v>
      </c>
      <c r="K27">
        <v>11</v>
      </c>
      <c r="L27">
        <v>259</v>
      </c>
      <c r="M27" t="s">
        <v>204</v>
      </c>
      <c r="N27" t="s">
        <v>75</v>
      </c>
      <c r="O27" t="s">
        <v>76</v>
      </c>
      <c r="P27">
        <v>2014</v>
      </c>
      <c r="Q27">
        <v>2014</v>
      </c>
      <c r="R27">
        <v>10</v>
      </c>
      <c r="S27">
        <v>10</v>
      </c>
      <c r="T27">
        <v>10</v>
      </c>
      <c r="U27">
        <v>1</v>
      </c>
      <c r="V27">
        <v>2498</v>
      </c>
      <c r="W27">
        <v>0</v>
      </c>
      <c r="X27">
        <v>0</v>
      </c>
      <c r="Y27">
        <v>0</v>
      </c>
      <c r="Z27">
        <v>0</v>
      </c>
      <c r="AA27">
        <v>0</v>
      </c>
      <c r="AB27">
        <v>2498</v>
      </c>
      <c r="AC27">
        <v>2500</v>
      </c>
      <c r="AD27">
        <v>3</v>
      </c>
      <c r="AE27" t="s">
        <v>132</v>
      </c>
      <c r="AF27" t="s">
        <v>275</v>
      </c>
      <c r="AG27" t="s">
        <v>111</v>
      </c>
      <c r="AH27" t="s">
        <v>314</v>
      </c>
      <c r="AI27">
        <v>0</v>
      </c>
      <c r="AJ27">
        <v>0</v>
      </c>
      <c r="AK27">
        <v>1</v>
      </c>
      <c r="AL27">
        <v>0</v>
      </c>
      <c r="AM27">
        <v>0</v>
      </c>
      <c r="AN27">
        <v>12</v>
      </c>
      <c r="AO27">
        <v>728</v>
      </c>
      <c r="AP27">
        <v>0</v>
      </c>
      <c r="AQ27">
        <v>728</v>
      </c>
      <c r="AR27">
        <v>0</v>
      </c>
      <c r="AS27">
        <v>0</v>
      </c>
      <c r="AT27">
        <v>0</v>
      </c>
      <c r="AU27">
        <v>0</v>
      </c>
      <c r="AV27">
        <v>100</v>
      </c>
      <c r="AW27">
        <v>100</v>
      </c>
      <c r="AX27">
        <v>513473</v>
      </c>
      <c r="AY27">
        <v>503204</v>
      </c>
      <c r="AZ27">
        <v>452</v>
      </c>
      <c r="BA27">
        <v>365</v>
      </c>
      <c r="BB27">
        <v>87</v>
      </c>
      <c r="BC27">
        <v>0</v>
      </c>
      <c r="BD27" s="6">
        <v>44840</v>
      </c>
      <c r="BE27" t="s">
        <v>41</v>
      </c>
      <c r="BF27">
        <v>563000</v>
      </c>
      <c r="BG27">
        <v>563000</v>
      </c>
      <c r="BH27" t="s">
        <v>198</v>
      </c>
      <c r="BI27">
        <v>30</v>
      </c>
      <c r="BJ27" t="s">
        <v>51</v>
      </c>
      <c r="BK27" t="s">
        <v>314</v>
      </c>
      <c r="BL27">
        <v>594600</v>
      </c>
      <c r="BM27">
        <v>88200</v>
      </c>
      <c r="BN27">
        <v>506400</v>
      </c>
      <c r="BO27">
        <v>0</v>
      </c>
      <c r="BP27">
        <v>1.0561278863232682</v>
      </c>
      <c r="BQ27">
        <v>621151.37847489526</v>
      </c>
      <c r="BR27">
        <v>670602.91938132537</v>
      </c>
      <c r="BS27" s="7">
        <f>(BR27-BL27)/BL27</f>
        <v>0.12782192966923203</v>
      </c>
      <c r="BT27" s="14">
        <f>(Sales[[#This Row],[DP1]]*Lookups!$B$51)+(Sales[[#This Row],[DP2]]*Lookups!$B$52)+(Sales[[#This Row],[DP3]]*Lookups!$B$53)</f>
        <v>-49451.554498000005</v>
      </c>
      <c r="BU27" s="14">
        <f>Lookups!$B$48*0.5</f>
        <v>87214.824999999997</v>
      </c>
      <c r="BV27" s="14">
        <f>Lookups!$B$48*0.5</f>
        <v>87214.824999999997</v>
      </c>
      <c r="BW27" s="14">
        <f>Lookups!$B$49*Sales[[#This Row],[LnAcres]]</f>
        <v>-31859.58889753087</v>
      </c>
      <c r="BX27" s="14">
        <f>VLOOKUP(Sales[[#This Row],[Qlty]],Lookups!$A$54:$E$67,2,FALSE)</f>
        <v>19189.450408000001</v>
      </c>
      <c r="BY27" s="14">
        <f>VLOOKUP(Sales[[#This Row],[Cnd]],Lookups!$A$68:$E$76,2,FALSE)</f>
        <v>133581.64413</v>
      </c>
      <c r="BZ27" s="14">
        <f>Sales[[#This Row],[Age]]*Lookups!$B$77</f>
        <v>1845.1242999999999</v>
      </c>
      <c r="CA27" s="14">
        <f>Sales[[#This Row],[MainFn]]*Lookups!$B$78</f>
        <v>172570.48058200002</v>
      </c>
      <c r="CB27" s="14">
        <f>Sales[[#This Row],[UpprFn]]*Lookups!$B$79</f>
        <v>0</v>
      </c>
      <c r="CC27" s="14">
        <f>Sales[[#This Row],[AddFn]]*Lookups!$B$80</f>
        <v>0</v>
      </c>
      <c r="CD27" s="14">
        <f>Sales[[#This Row],[Bsmt]]*Lookups!$B$81</f>
        <v>0</v>
      </c>
      <c r="CE27" s="14">
        <f>Sales[[#This Row],[Fixtures]]*Lookups!$B$84</f>
        <v>121861.20000000001</v>
      </c>
      <c r="CF27" s="14">
        <f>Sales[[#This Row],[MsnryFP]]*Lookups!$B$82</f>
        <v>0</v>
      </c>
      <c r="CG27" s="14">
        <f>Sales[[#This Row],[PrefabFP]]*Lookups!$B$83</f>
        <v>42091.021999999997</v>
      </c>
      <c r="CH27" s="14">
        <f>Sales[[#This Row],[GarageArea]]*Lookups!$B$85</f>
        <v>36893.945815999999</v>
      </c>
      <c r="CI27" s="14">
        <f>SUM(Sales[[#This Row],[Days Prior Total]:[Mdl GarageArea]])</f>
        <v>621151.37384046905</v>
      </c>
      <c r="CJ27" s="14">
        <f>ROUND(Sales[[#This Row],[25Det]],-2)</f>
        <v>0</v>
      </c>
      <c r="CK27" s="14">
        <f>ROUND(SUM(Sales[[#This Row],[Mdl Qlty]:[Mdl GarageArea]])+Sales[[#This Row],[Mdl Res Intercept]]+Sales[[#This Row],[Days Prior Total]],-2)</f>
        <v>565800</v>
      </c>
      <c r="CL27" s="14">
        <f>ROUND(Sales[[#This Row],[Mdl Land Intercept]]+Sales[[#This Row],[Mdl LnAcres]],-2)</f>
        <v>55400</v>
      </c>
      <c r="CM27" s="14">
        <f>Sales[[#This Row],[Unadj Res Value]]+Sales[[#This Row],[Unadj Det Value]]+Sales[[#This Row],[Unadj Land Value]]</f>
        <v>621200</v>
      </c>
      <c r="CN27" s="15">
        <f>Sales[[#This Row],[Unadj Total Value]]/Sales[[#This Row],[Price]]</f>
        <v>1.1033747779751333</v>
      </c>
      <c r="CO27" s="15">
        <f>(Sales[[#This Row],[Unadj Total Value]]-Sales[[#This Row],[24Final]])/Sales[[#This Row],[24Final]]</f>
        <v>4.4735956945845944E-2</v>
      </c>
      <c r="CP27">
        <f>VLOOKUP(Sales[[#This Row],[TNbhd]],Lookups!$M$2:$P$4,4,FALSE)</f>
        <v>0.97570000000000001</v>
      </c>
      <c r="CQ27">
        <f>VLOOKUP(Sales[[#This Row],[Qlty]],Lookups!$M$6:$P$20,4,FALSE)</f>
        <v>0.9819</v>
      </c>
      <c r="CR27">
        <f>VLOOKUP(Sales[[#This Row],[Cnd]],Lookups!$R$6:$U$15,4,FALSE)</f>
        <v>0.98370000000000002</v>
      </c>
      <c r="CS27">
        <f>VLOOKUP(Sales[[#This Row],[LivArea Range]],Lookups!$R$23:$U$39,4,FALSE)</f>
        <v>0.93440000000000001</v>
      </c>
      <c r="CT27">
        <f>VLOOKUP(Sales[[#This Row],[Decade]],Lookups!$M$23:$P$35,4,FALSE)</f>
        <v>0.99060000000000004</v>
      </c>
      <c r="CU27">
        <f>Sales[[#This Row],[Nbhd Adj]]*0.95</f>
        <v>0.92691499999999993</v>
      </c>
      <c r="CV27">
        <f>Sales[[#This Row],[Nbhd Adj]]*Sales[[#This Row],[Quality Adj]]*Sales[[#This Row],[Condition Adj]]*Sales[[#This Row],[Living Area Adj]]*Sales[[#This Row],[Decade Adj]]*0.95</f>
        <v>0.82870697674268223</v>
      </c>
      <c r="CW27">
        <f>ROUND(SUM(Sales[[#This Row],[Mdl Qlty]:[Mdl GarageArea]])+Sales[[#This Row],[Mdl Res Intercept]]*Sales[[#This Row],[Res Adj ]],-2)</f>
        <v>600300</v>
      </c>
      <c r="CX27">
        <f>ROUND(Sales[[#This Row],[25Det]]*Sales[[#This Row],[Det/Nbhd Adj]],-2)</f>
        <v>0</v>
      </c>
      <c r="CY27">
        <f>Sales[[#This Row],[Adjusted Res]]+Sales[[#This Row],[Adj Det ]]</f>
        <v>600300</v>
      </c>
      <c r="CZ27">
        <f>ROUND((Sales[[#This Row],[Mdl Land Intercept]]+Sales[[#This Row],[Mdl LnAcres]])*Sales[[#This Row],[Det/Nbhd Adj]],-2)</f>
        <v>51300</v>
      </c>
      <c r="DA27">
        <f>Sales[[#This Row],[Adjusted Impr Total]]+Sales[[#This Row],[Adjusted Land Total]]</f>
        <v>651600</v>
      </c>
      <c r="DB27">
        <f>IFERROR((Sales[[#This Row],[Adjusted Impr Total]]-Sales[[#This Row],[24Bldg]])/Sales[[#This Row],[24Bldg]],0)</f>
        <v>0.1854265402843602</v>
      </c>
      <c r="DC27">
        <f>(Sales[[#This Row],[Adjusted Land Total]]-Sales[[#This Row],[24Lnd]])/Sales[[#This Row],[24Lnd]]</f>
        <v>-0.41836734693877553</v>
      </c>
      <c r="DD27">
        <f>(Sales[[#This Row],[Adjusted Total]]-Sales[[#This Row],[24Final]])/Sales[[#This Row],[24Final]]</f>
        <v>9.5862764883955606E-2</v>
      </c>
      <c r="DE27">
        <f>(Sales[[#This Row],[Adjusted Total]]+Sales[[#This Row],[Days Prior Total]])/Sales[[#This Row],[Price]]</f>
        <v>1.0695354271793962</v>
      </c>
    </row>
    <row r="28" spans="1:109" x14ac:dyDescent="0.3">
      <c r="A28">
        <v>2025</v>
      </c>
      <c r="B28">
        <v>18131734449</v>
      </c>
      <c r="C28">
        <v>-1.0788096613719298</v>
      </c>
      <c r="D28">
        <v>0.34</v>
      </c>
      <c r="E28">
        <v>0</v>
      </c>
      <c r="F28">
        <v>1</v>
      </c>
      <c r="G28" t="s">
        <v>89</v>
      </c>
      <c r="H28">
        <v>3041</v>
      </c>
      <c r="I28" t="s">
        <v>302</v>
      </c>
      <c r="J28" t="s">
        <v>110</v>
      </c>
      <c r="K28">
        <v>11</v>
      </c>
      <c r="L28">
        <v>259</v>
      </c>
      <c r="M28" t="s">
        <v>204</v>
      </c>
      <c r="N28" t="s">
        <v>50</v>
      </c>
      <c r="O28" t="s">
        <v>76</v>
      </c>
      <c r="P28">
        <v>2014</v>
      </c>
      <c r="Q28">
        <v>2014</v>
      </c>
      <c r="R28">
        <v>10</v>
      </c>
      <c r="S28">
        <v>10</v>
      </c>
      <c r="T28">
        <v>10</v>
      </c>
      <c r="U28">
        <v>1</v>
      </c>
      <c r="V28">
        <v>2986</v>
      </c>
      <c r="W28">
        <v>0</v>
      </c>
      <c r="X28">
        <v>1260</v>
      </c>
      <c r="Y28">
        <v>0</v>
      </c>
      <c r="Z28">
        <v>0</v>
      </c>
      <c r="AA28">
        <v>0</v>
      </c>
      <c r="AB28">
        <v>4246</v>
      </c>
      <c r="AC28">
        <v>4500</v>
      </c>
      <c r="AD28">
        <v>3</v>
      </c>
      <c r="AE28" t="s">
        <v>132</v>
      </c>
      <c r="AF28" t="s">
        <v>275</v>
      </c>
      <c r="AG28" t="s">
        <v>111</v>
      </c>
      <c r="AH28" t="s">
        <v>314</v>
      </c>
      <c r="AI28">
        <v>0</v>
      </c>
      <c r="AJ28">
        <v>1</v>
      </c>
      <c r="AK28">
        <v>0</v>
      </c>
      <c r="AL28">
        <v>0</v>
      </c>
      <c r="AM28">
        <v>1</v>
      </c>
      <c r="AN28">
        <v>13</v>
      </c>
      <c r="AO28">
        <v>1260</v>
      </c>
      <c r="AP28">
        <v>0</v>
      </c>
      <c r="AQ28">
        <v>1260</v>
      </c>
      <c r="AR28">
        <v>0</v>
      </c>
      <c r="AS28">
        <v>0</v>
      </c>
      <c r="AT28">
        <v>782</v>
      </c>
      <c r="AU28">
        <v>0</v>
      </c>
      <c r="AV28">
        <v>100</v>
      </c>
      <c r="AW28">
        <v>100</v>
      </c>
      <c r="AX28">
        <v>819130</v>
      </c>
      <c r="AY28">
        <v>802747</v>
      </c>
      <c r="AZ28">
        <v>899</v>
      </c>
      <c r="BA28">
        <v>365</v>
      </c>
      <c r="BB28">
        <v>365</v>
      </c>
      <c r="BC28">
        <v>169</v>
      </c>
      <c r="BD28" s="6">
        <v>44393</v>
      </c>
      <c r="BE28" t="s">
        <v>182</v>
      </c>
      <c r="BF28">
        <v>780000</v>
      </c>
      <c r="BG28">
        <v>731687</v>
      </c>
      <c r="BH28" t="s">
        <v>198</v>
      </c>
      <c r="BI28">
        <v>30</v>
      </c>
      <c r="BJ28" t="s">
        <v>51</v>
      </c>
      <c r="BK28" t="s">
        <v>314</v>
      </c>
      <c r="BL28">
        <v>817600</v>
      </c>
      <c r="BM28">
        <v>99200</v>
      </c>
      <c r="BN28">
        <v>718400</v>
      </c>
      <c r="BO28">
        <v>48313</v>
      </c>
      <c r="BP28">
        <v>1.0482051282051281</v>
      </c>
      <c r="BQ28">
        <v>741052.36528736702</v>
      </c>
      <c r="BR28">
        <v>816204.76460268802</v>
      </c>
      <c r="BS28" s="7">
        <f>(BR28-BL28)/BL28</f>
        <v>-1.7065012198042751E-3</v>
      </c>
      <c r="BT28" s="14">
        <f>(Sales[[#This Row],[DP1]]*Lookups!$B$51)+(Sales[[#This Row],[DP2]]*Lookups!$B$52)+(Sales[[#This Row],[DP3]]*Lookups!$B$53)</f>
        <v>-75152.404710000003</v>
      </c>
      <c r="BU28" s="14">
        <f>Lookups!$B$48*0.5</f>
        <v>87214.824999999997</v>
      </c>
      <c r="BV28" s="14">
        <f>Lookups!$B$48*0.5</f>
        <v>87214.824999999997</v>
      </c>
      <c r="BW28" s="14">
        <f>Lookups!$B$49*Sales[[#This Row],[LnAcres]]</f>
        <v>-27000.28206812881</v>
      </c>
      <c r="BX28" s="14">
        <f>VLOOKUP(Sales[[#This Row],[Qlty]],Lookups!$A$54:$E$67,2,FALSE)</f>
        <v>46722.525125</v>
      </c>
      <c r="BY28" s="14">
        <f>VLOOKUP(Sales[[#This Row],[Cnd]],Lookups!$A$68:$E$76,2,FALSE)</f>
        <v>133581.64413</v>
      </c>
      <c r="BZ28" s="14">
        <f>Sales[[#This Row],[Age]]*Lookups!$B$77</f>
        <v>1845.1242999999999</v>
      </c>
      <c r="CA28" s="14">
        <f>Sales[[#This Row],[MainFn]]*Lookups!$B$78</f>
        <v>206283.20857400002</v>
      </c>
      <c r="CB28" s="14">
        <f>Sales[[#This Row],[UpprFn]]*Lookups!$B$79</f>
        <v>0</v>
      </c>
      <c r="CC28" s="14">
        <f>Sales[[#This Row],[AddFn]]*Lookups!$B$80</f>
        <v>59198.074740000004</v>
      </c>
      <c r="CD28" s="14">
        <f>Sales[[#This Row],[Bsmt]]*Lookups!$B$81</f>
        <v>0</v>
      </c>
      <c r="CE28" s="14">
        <f>Sales[[#This Row],[Fixtures]]*Lookups!$B$84</f>
        <v>132016.30000000002</v>
      </c>
      <c r="CF28" s="14">
        <f>Sales[[#This Row],[MsnryFP]]*Lookups!$B$82</f>
        <v>25273.623</v>
      </c>
      <c r="CG28" s="14">
        <f>Sales[[#This Row],[PrefabFP]]*Lookups!$B$83</f>
        <v>0</v>
      </c>
      <c r="CH28" s="14">
        <f>Sales[[#This Row],[GarageArea]]*Lookups!$B$85</f>
        <v>63854.906219999997</v>
      </c>
      <c r="CI28" s="14">
        <f>SUM(Sales[[#This Row],[Days Prior Total]:[Mdl GarageArea]])</f>
        <v>741052.36931087123</v>
      </c>
      <c r="CJ28" s="14">
        <f>ROUND(Sales[[#This Row],[25Det]],-2)</f>
        <v>48300</v>
      </c>
      <c r="CK28" s="14">
        <f>ROUND(SUM(Sales[[#This Row],[Mdl Qlty]:[Mdl GarageArea]])+Sales[[#This Row],[Mdl Res Intercept]]+Sales[[#This Row],[Days Prior Total]],-2)</f>
        <v>680800</v>
      </c>
      <c r="CL28" s="14">
        <f>ROUND(Sales[[#This Row],[Mdl Land Intercept]]+Sales[[#This Row],[Mdl LnAcres]],-2)</f>
        <v>60200</v>
      </c>
      <c r="CM28" s="14">
        <f>Sales[[#This Row],[Unadj Res Value]]+Sales[[#This Row],[Unadj Det Value]]+Sales[[#This Row],[Unadj Land Value]]</f>
        <v>789300</v>
      </c>
      <c r="CN28" s="15">
        <f>Sales[[#This Row],[Unadj Total Value]]/Sales[[#This Row],[Price]]</f>
        <v>1.0119230769230769</v>
      </c>
      <c r="CO28" s="15">
        <f>(Sales[[#This Row],[Unadj Total Value]]-Sales[[#This Row],[24Final]])/Sales[[#This Row],[24Final]]</f>
        <v>-3.4613502935420745E-2</v>
      </c>
      <c r="CP28">
        <f>VLOOKUP(Sales[[#This Row],[TNbhd]],Lookups!$M$2:$P$4,4,FALSE)</f>
        <v>0.97570000000000001</v>
      </c>
      <c r="CQ28">
        <f>VLOOKUP(Sales[[#This Row],[Qlty]],Lookups!$M$6:$P$20,4,FALSE)</f>
        <v>0.98329999999999995</v>
      </c>
      <c r="CR28">
        <f>VLOOKUP(Sales[[#This Row],[Cnd]],Lookups!$R$6:$U$15,4,FALSE)</f>
        <v>0.98370000000000002</v>
      </c>
      <c r="CS28">
        <f>VLOOKUP(Sales[[#This Row],[LivArea Range]],Lookups!$R$23:$U$39,4,FALSE)</f>
        <v>1.0087999999999999</v>
      </c>
      <c r="CT28">
        <f>VLOOKUP(Sales[[#This Row],[Decade]],Lookups!$M$23:$P$35,4,FALSE)</f>
        <v>0.99060000000000004</v>
      </c>
      <c r="CU28">
        <f>Sales[[#This Row],[Nbhd Adj]]*0.95</f>
        <v>0.92691499999999993</v>
      </c>
      <c r="CV28">
        <f>Sales[[#This Row],[Nbhd Adj]]*Sales[[#This Row],[Quality Adj]]*Sales[[#This Row],[Condition Adj]]*Sales[[#This Row],[Living Area Adj]]*Sales[[#This Row],[Decade Adj]]*0.95</f>
        <v>0.89596700803498019</v>
      </c>
      <c r="CW28">
        <f>ROUND(SUM(Sales[[#This Row],[Mdl Qlty]:[Mdl GarageArea]])+Sales[[#This Row],[Mdl Res Intercept]]*Sales[[#This Row],[Res Adj ]],-2)</f>
        <v>746900</v>
      </c>
      <c r="CX28">
        <f>ROUND(Sales[[#This Row],[25Det]]*Sales[[#This Row],[Det/Nbhd Adj]],-2)</f>
        <v>44800</v>
      </c>
      <c r="CY28">
        <f>Sales[[#This Row],[Adjusted Res]]+Sales[[#This Row],[Adj Det ]]</f>
        <v>791700</v>
      </c>
      <c r="CZ28">
        <f>ROUND((Sales[[#This Row],[Mdl Land Intercept]]+Sales[[#This Row],[Mdl LnAcres]])*Sales[[#This Row],[Det/Nbhd Adj]],-2)</f>
        <v>55800</v>
      </c>
      <c r="DA28">
        <f>Sales[[#This Row],[Adjusted Impr Total]]+Sales[[#This Row],[Adjusted Land Total]]</f>
        <v>847500</v>
      </c>
      <c r="DB28">
        <f>IFERROR((Sales[[#This Row],[Adjusted Impr Total]]-Sales[[#This Row],[24Bldg]])/Sales[[#This Row],[24Bldg]],0)</f>
        <v>0.10203229398663698</v>
      </c>
      <c r="DC28">
        <f>(Sales[[#This Row],[Adjusted Land Total]]-Sales[[#This Row],[24Lnd]])/Sales[[#This Row],[24Lnd]]</f>
        <v>-0.4375</v>
      </c>
      <c r="DD28">
        <f>(Sales[[#This Row],[Adjusted Total]]-Sales[[#This Row],[24Final]])/Sales[[#This Row],[24Final]]</f>
        <v>3.657045009784736E-2</v>
      </c>
      <c r="DE28">
        <f>(Sales[[#This Row],[Adjusted Total]]+Sales[[#This Row],[Days Prior Total]])/Sales[[#This Row],[Price]]</f>
        <v>0.9901892247307692</v>
      </c>
    </row>
    <row r="29" spans="1:109" x14ac:dyDescent="0.3">
      <c r="A29">
        <v>2025</v>
      </c>
      <c r="B29">
        <v>17132413434</v>
      </c>
      <c r="C29">
        <v>-9.0407446521490707E-3</v>
      </c>
      <c r="D29">
        <v>0.99099999999999999</v>
      </c>
      <c r="E29">
        <v>43295</v>
      </c>
      <c r="F29">
        <v>1</v>
      </c>
      <c r="G29" t="s">
        <v>89</v>
      </c>
      <c r="H29" t="s">
        <v>203</v>
      </c>
      <c r="I29" t="s">
        <v>302</v>
      </c>
      <c r="J29" t="s">
        <v>26</v>
      </c>
      <c r="K29">
        <v>11</v>
      </c>
      <c r="L29">
        <v>331</v>
      </c>
      <c r="M29" t="s">
        <v>313</v>
      </c>
      <c r="N29" t="s">
        <v>189</v>
      </c>
      <c r="O29" t="s">
        <v>76</v>
      </c>
      <c r="P29">
        <v>2013</v>
      </c>
      <c r="Q29">
        <v>2013</v>
      </c>
      <c r="R29">
        <v>20</v>
      </c>
      <c r="S29">
        <v>11</v>
      </c>
      <c r="T29">
        <v>11</v>
      </c>
      <c r="U29">
        <v>1</v>
      </c>
      <c r="V29">
        <v>2265</v>
      </c>
      <c r="W29">
        <v>0</v>
      </c>
      <c r="X29">
        <v>0</v>
      </c>
      <c r="Y29">
        <v>0</v>
      </c>
      <c r="Z29">
        <v>0</v>
      </c>
      <c r="AA29">
        <v>0</v>
      </c>
      <c r="AB29">
        <v>2265</v>
      </c>
      <c r="AC29">
        <v>2500</v>
      </c>
      <c r="AD29">
        <v>2</v>
      </c>
      <c r="AF29" t="s">
        <v>275</v>
      </c>
      <c r="AG29" t="s">
        <v>111</v>
      </c>
      <c r="AH29" t="s">
        <v>314</v>
      </c>
      <c r="AI29">
        <v>0</v>
      </c>
      <c r="AJ29">
        <v>0</v>
      </c>
      <c r="AK29">
        <v>1</v>
      </c>
      <c r="AL29">
        <v>0</v>
      </c>
      <c r="AM29">
        <v>0</v>
      </c>
      <c r="AN29">
        <v>11</v>
      </c>
      <c r="AO29">
        <v>825</v>
      </c>
      <c r="AP29">
        <v>0</v>
      </c>
      <c r="AQ29">
        <v>825</v>
      </c>
      <c r="AR29">
        <v>0</v>
      </c>
      <c r="AS29">
        <v>0</v>
      </c>
      <c r="AT29">
        <v>181</v>
      </c>
      <c r="AU29">
        <v>0</v>
      </c>
      <c r="AV29">
        <v>100</v>
      </c>
      <c r="AW29">
        <v>100</v>
      </c>
      <c r="AX29">
        <v>600229</v>
      </c>
      <c r="AY29">
        <v>588224</v>
      </c>
      <c r="AZ29">
        <v>539</v>
      </c>
      <c r="BA29">
        <v>365</v>
      </c>
      <c r="BB29">
        <v>174</v>
      </c>
      <c r="BC29">
        <v>0</v>
      </c>
      <c r="BD29" s="6">
        <v>44753</v>
      </c>
      <c r="BE29" t="s">
        <v>220</v>
      </c>
      <c r="BF29">
        <v>805000</v>
      </c>
      <c r="BG29">
        <v>805000</v>
      </c>
      <c r="BH29" t="s">
        <v>198</v>
      </c>
      <c r="BI29">
        <v>30</v>
      </c>
      <c r="BJ29" t="s">
        <v>51</v>
      </c>
      <c r="BK29" t="s">
        <v>314</v>
      </c>
      <c r="BL29">
        <v>633100</v>
      </c>
      <c r="BM29">
        <v>160000</v>
      </c>
      <c r="BN29">
        <v>473100</v>
      </c>
      <c r="BO29">
        <v>0</v>
      </c>
      <c r="BP29">
        <v>0.7864596273291925</v>
      </c>
      <c r="BQ29">
        <v>762445.70612487674</v>
      </c>
      <c r="BR29">
        <v>803619.67154409701</v>
      </c>
      <c r="BS29" s="7">
        <f>(BR29-BL29)/BL29</f>
        <v>0.26934081747606542</v>
      </c>
      <c r="BT29" s="14">
        <f>(Sales[[#This Row],[DP1]]*Lookups!$B$51)+(Sales[[#This Row],[DP2]]*Lookups!$B$52)+(Sales[[#This Row],[DP3]]*Lookups!$B$53)</f>
        <v>-41173.978996000005</v>
      </c>
      <c r="BU29" s="14">
        <f>Lookups!$B$48*0.5</f>
        <v>87214.824999999997</v>
      </c>
      <c r="BV29" s="14">
        <f>Lookups!$B$48*0.5</f>
        <v>87214.824999999997</v>
      </c>
      <c r="BW29" s="14">
        <f>Lookups!$B$49*Sales[[#This Row],[LnAcres]]</f>
        <v>-226.27036487931053</v>
      </c>
      <c r="BX29" s="14">
        <f>VLOOKUP(Sales[[#This Row],[Qlty]],Lookups!$A$54:$E$67,2,FALSE)</f>
        <v>141724.10243</v>
      </c>
      <c r="BY29" s="14">
        <f>VLOOKUP(Sales[[#This Row],[Cnd]],Lookups!$A$68:$E$76,2,FALSE)</f>
        <v>133581.64413</v>
      </c>
      <c r="BZ29" s="14">
        <f>Sales[[#This Row],[Age]]*Lookups!$B$77</f>
        <v>2029.6367299999999</v>
      </c>
      <c r="CA29" s="14">
        <f>Sales[[#This Row],[MainFn]]*Lookups!$B$78</f>
        <v>156474.03463500002</v>
      </c>
      <c r="CB29" s="14">
        <f>Sales[[#This Row],[UpprFn]]*Lookups!$B$79</f>
        <v>0</v>
      </c>
      <c r="CC29" s="14">
        <f>Sales[[#This Row],[AddFn]]*Lookups!$B$80</f>
        <v>0</v>
      </c>
      <c r="CD29" s="14">
        <f>Sales[[#This Row],[Bsmt]]*Lookups!$B$81</f>
        <v>0</v>
      </c>
      <c r="CE29" s="14">
        <f>Sales[[#This Row],[Fixtures]]*Lookups!$B$84</f>
        <v>111706.1</v>
      </c>
      <c r="CF29" s="14">
        <f>Sales[[#This Row],[MsnryFP]]*Lookups!$B$82</f>
        <v>0</v>
      </c>
      <c r="CG29" s="14">
        <f>Sales[[#This Row],[PrefabFP]]*Lookups!$B$83</f>
        <v>42091.021999999997</v>
      </c>
      <c r="CH29" s="14">
        <f>Sales[[#This Row],[GarageArea]]*Lookups!$B$85</f>
        <v>41809.760025000003</v>
      </c>
      <c r="CI29" s="14">
        <f>SUM(Sales[[#This Row],[Days Prior Total]:[Mdl GarageArea]])</f>
        <v>762445.70058912074</v>
      </c>
      <c r="CJ29" s="14">
        <f>ROUND(Sales[[#This Row],[25Det]],-2)</f>
        <v>0</v>
      </c>
      <c r="CK29" s="14">
        <f>ROUND(SUM(Sales[[#This Row],[Mdl Qlty]:[Mdl GarageArea]])+Sales[[#This Row],[Mdl Res Intercept]]+Sales[[#This Row],[Days Prior Total]],-2)</f>
        <v>675500</v>
      </c>
      <c r="CL29" s="14">
        <f>ROUND(Sales[[#This Row],[Mdl Land Intercept]]+Sales[[#This Row],[Mdl LnAcres]],-2)</f>
        <v>87000</v>
      </c>
      <c r="CM29" s="14">
        <f>Sales[[#This Row],[Unadj Res Value]]+Sales[[#This Row],[Unadj Det Value]]+Sales[[#This Row],[Unadj Land Value]]</f>
        <v>762500</v>
      </c>
      <c r="CN29" s="15">
        <f>Sales[[#This Row],[Unadj Total Value]]/Sales[[#This Row],[Price]]</f>
        <v>0.94720496894409933</v>
      </c>
      <c r="CO29" s="15">
        <f>(Sales[[#This Row],[Unadj Total Value]]-Sales[[#This Row],[24Final]])/Sales[[#This Row],[24Final]]</f>
        <v>0.20439109145474649</v>
      </c>
      <c r="CP29">
        <f>VLOOKUP(Sales[[#This Row],[TNbhd]],Lookups!$M$2:$P$4,4,FALSE)</f>
        <v>0.97570000000000001</v>
      </c>
      <c r="CQ29">
        <f>VLOOKUP(Sales[[#This Row],[Qlty]],Lookups!$M$6:$P$20,4,FALSE)</f>
        <v>1.0051000000000001</v>
      </c>
      <c r="CR29">
        <f>VLOOKUP(Sales[[#This Row],[Cnd]],Lookups!$R$6:$U$15,4,FALSE)</f>
        <v>0.98370000000000002</v>
      </c>
      <c r="CS29">
        <f>VLOOKUP(Sales[[#This Row],[LivArea Range]],Lookups!$R$23:$U$39,4,FALSE)</f>
        <v>0.93440000000000001</v>
      </c>
      <c r="CT29">
        <f>VLOOKUP(Sales[[#This Row],[Decade]],Lookups!$M$23:$P$35,4,FALSE)</f>
        <v>0.97499999999999998</v>
      </c>
      <c r="CU29">
        <f>Sales[[#This Row],[Nbhd Adj]]*0.95</f>
        <v>0.92691499999999993</v>
      </c>
      <c r="CV29">
        <f>Sales[[#This Row],[Nbhd Adj]]*Sales[[#This Row],[Quality Adj]]*Sales[[#This Row],[Condition Adj]]*Sales[[#This Row],[Living Area Adj]]*Sales[[#This Row],[Decade Adj]]*0.95</f>
        <v>0.83492852753346392</v>
      </c>
      <c r="CW29">
        <f>ROUND(SUM(Sales[[#This Row],[Mdl Qlty]:[Mdl GarageArea]])+Sales[[#This Row],[Mdl Res Intercept]]*Sales[[#This Row],[Res Adj ]],-2)</f>
        <v>702200</v>
      </c>
      <c r="CX29">
        <f>ROUND(Sales[[#This Row],[25Det]]*Sales[[#This Row],[Det/Nbhd Adj]],-2)</f>
        <v>0</v>
      </c>
      <c r="CY29">
        <f>Sales[[#This Row],[Adjusted Res]]+Sales[[#This Row],[Adj Det ]]</f>
        <v>702200</v>
      </c>
      <c r="CZ29">
        <f>ROUND((Sales[[#This Row],[Mdl Land Intercept]]+Sales[[#This Row],[Mdl LnAcres]])*Sales[[#This Row],[Det/Nbhd Adj]],-2)</f>
        <v>80600</v>
      </c>
      <c r="DA29">
        <f>Sales[[#This Row],[Adjusted Impr Total]]+Sales[[#This Row],[Adjusted Land Total]]</f>
        <v>782800</v>
      </c>
      <c r="DB29">
        <f>IFERROR((Sales[[#This Row],[Adjusted Impr Total]]-Sales[[#This Row],[24Bldg]])/Sales[[#This Row],[24Bldg]],0)</f>
        <v>0.48425280067638976</v>
      </c>
      <c r="DC29">
        <f>(Sales[[#This Row],[Adjusted Land Total]]-Sales[[#This Row],[24Lnd]])/Sales[[#This Row],[24Lnd]]</f>
        <v>-0.49625000000000002</v>
      </c>
      <c r="DD29">
        <f>(Sales[[#This Row],[Adjusted Total]]-Sales[[#This Row],[24Final]])/Sales[[#This Row],[24Final]]</f>
        <v>0.23645553625019744</v>
      </c>
      <c r="DE29">
        <f>(Sales[[#This Row],[Adjusted Total]]+Sales[[#This Row],[Days Prior Total]])/Sales[[#This Row],[Price]]</f>
        <v>0.92127456025341614</v>
      </c>
    </row>
    <row r="30" spans="1:109" x14ac:dyDescent="0.3">
      <c r="A30">
        <v>2025</v>
      </c>
      <c r="B30">
        <v>18131643472</v>
      </c>
      <c r="C30">
        <v>-0.86750056770472306</v>
      </c>
      <c r="D30">
        <v>0.42</v>
      </c>
      <c r="E30">
        <v>18122</v>
      </c>
      <c r="F30">
        <v>5</v>
      </c>
      <c r="G30" t="s">
        <v>89</v>
      </c>
      <c r="H30" t="s">
        <v>203</v>
      </c>
      <c r="I30" t="s">
        <v>302</v>
      </c>
      <c r="J30" t="s">
        <v>26</v>
      </c>
      <c r="K30">
        <v>11</v>
      </c>
      <c r="L30">
        <v>259</v>
      </c>
      <c r="M30" t="s">
        <v>313</v>
      </c>
      <c r="N30" t="s">
        <v>274</v>
      </c>
      <c r="O30" t="s">
        <v>76</v>
      </c>
      <c r="P30">
        <v>2011</v>
      </c>
      <c r="Q30">
        <v>2011</v>
      </c>
      <c r="R30">
        <v>20</v>
      </c>
      <c r="S30">
        <v>13</v>
      </c>
      <c r="T30">
        <v>13</v>
      </c>
      <c r="U30">
        <v>1</v>
      </c>
      <c r="V30">
        <v>2482</v>
      </c>
      <c r="W30">
        <v>0</v>
      </c>
      <c r="X30">
        <v>0</v>
      </c>
      <c r="Y30">
        <v>2340</v>
      </c>
      <c r="Z30">
        <v>2156</v>
      </c>
      <c r="AA30">
        <v>184</v>
      </c>
      <c r="AB30">
        <v>4638</v>
      </c>
      <c r="AC30">
        <v>5000</v>
      </c>
      <c r="AD30">
        <v>3</v>
      </c>
      <c r="AF30" t="s">
        <v>153</v>
      </c>
      <c r="AG30" t="s">
        <v>274</v>
      </c>
      <c r="AH30" t="s">
        <v>51</v>
      </c>
      <c r="AI30">
        <v>0</v>
      </c>
      <c r="AJ30">
        <v>0</v>
      </c>
      <c r="AK30">
        <v>1</v>
      </c>
      <c r="AL30">
        <v>0</v>
      </c>
      <c r="AM30">
        <v>1</v>
      </c>
      <c r="AN30">
        <v>17</v>
      </c>
      <c r="AO30">
        <v>704</v>
      </c>
      <c r="AP30">
        <v>0</v>
      </c>
      <c r="AQ30">
        <v>704</v>
      </c>
      <c r="AR30">
        <v>0</v>
      </c>
      <c r="AS30">
        <v>378</v>
      </c>
      <c r="AT30">
        <v>192</v>
      </c>
      <c r="AU30">
        <v>0</v>
      </c>
      <c r="AV30">
        <v>100</v>
      </c>
      <c r="AW30">
        <v>100</v>
      </c>
      <c r="AX30">
        <v>1124206</v>
      </c>
      <c r="AY30">
        <v>1101722</v>
      </c>
      <c r="AZ30">
        <v>987</v>
      </c>
      <c r="BA30">
        <v>365</v>
      </c>
      <c r="BB30">
        <v>365</v>
      </c>
      <c r="BC30">
        <v>257</v>
      </c>
      <c r="BD30" s="6">
        <v>44305</v>
      </c>
      <c r="BE30" t="s">
        <v>181</v>
      </c>
      <c r="BF30">
        <v>989000</v>
      </c>
      <c r="BG30">
        <v>989000</v>
      </c>
      <c r="BH30" t="s">
        <v>198</v>
      </c>
      <c r="BI30">
        <v>30</v>
      </c>
      <c r="BJ30" t="s">
        <v>51</v>
      </c>
      <c r="BK30" t="s">
        <v>314</v>
      </c>
      <c r="BL30">
        <v>997300</v>
      </c>
      <c r="BM30">
        <v>111000</v>
      </c>
      <c r="BN30">
        <v>886300</v>
      </c>
      <c r="BO30">
        <v>0</v>
      </c>
      <c r="BP30">
        <v>1.0083923154701719</v>
      </c>
      <c r="BQ30">
        <v>918545.4560292064</v>
      </c>
      <c r="BR30">
        <v>1020853.427588122</v>
      </c>
      <c r="BS30" s="7">
        <f>(BR30-BL30)/BL30</f>
        <v>2.3617194011954241E-2</v>
      </c>
      <c r="BT30" s="14">
        <f>(Sales[[#This Row],[DP1]]*Lookups!$B$51)+(Sales[[#This Row],[DP2]]*Lookups!$B$52)+(Sales[[#This Row],[DP3]]*Lookups!$B$53)</f>
        <v>-102307.97271</v>
      </c>
      <c r="BU30" s="14">
        <f>Lookups!$B$48*0.5</f>
        <v>87214.824999999997</v>
      </c>
      <c r="BV30" s="14">
        <f>Lookups!$B$48*0.5</f>
        <v>87214.824999999997</v>
      </c>
      <c r="BW30" s="14">
        <f>Lookups!$B$49*Sales[[#This Row],[LnAcres]]</f>
        <v>-21711.670613426384</v>
      </c>
      <c r="BX30" s="14">
        <f>VLOOKUP(Sales[[#This Row],[Qlty]],Lookups!$A$54:$E$67,2,FALSE)</f>
        <v>243340.36395999999</v>
      </c>
      <c r="BY30" s="14">
        <f>VLOOKUP(Sales[[#This Row],[Cnd]],Lookups!$A$68:$E$76,2,FALSE)</f>
        <v>133581.64413</v>
      </c>
      <c r="BZ30" s="14">
        <f>Sales[[#This Row],[Age]]*Lookups!$B$77</f>
        <v>2398.6615899999997</v>
      </c>
      <c r="CA30" s="14">
        <f>Sales[[#This Row],[MainFn]]*Lookups!$B$78</f>
        <v>171465.14523800003</v>
      </c>
      <c r="CB30" s="14">
        <f>Sales[[#This Row],[UpprFn]]*Lookups!$B$79</f>
        <v>0</v>
      </c>
      <c r="CC30" s="14">
        <f>Sales[[#This Row],[AddFn]]*Lookups!$B$80</f>
        <v>0</v>
      </c>
      <c r="CD30" s="14">
        <f>Sales[[#This Row],[Bsmt]]*Lookups!$B$81</f>
        <v>66944.259720000002</v>
      </c>
      <c r="CE30" s="14">
        <f>Sales[[#This Row],[Fixtures]]*Lookups!$B$84</f>
        <v>172636.7</v>
      </c>
      <c r="CF30" s="14">
        <f>Sales[[#This Row],[MsnryFP]]*Lookups!$B$82</f>
        <v>0</v>
      </c>
      <c r="CG30" s="14">
        <f>Sales[[#This Row],[PrefabFP]]*Lookups!$B$83</f>
        <v>42091.021999999997</v>
      </c>
      <c r="CH30" s="14">
        <f>Sales[[#This Row],[GarageArea]]*Lookups!$B$85</f>
        <v>35677.661888000002</v>
      </c>
      <c r="CI30" s="14">
        <f>SUM(Sales[[#This Row],[Days Prior Total]:[Mdl GarageArea]])</f>
        <v>918545.46520257345</v>
      </c>
      <c r="CJ30" s="14">
        <f>ROUND(Sales[[#This Row],[25Det]],-2)</f>
        <v>0</v>
      </c>
      <c r="CK30" s="14">
        <f>ROUND(SUM(Sales[[#This Row],[Mdl Qlty]:[Mdl GarageArea]])+Sales[[#This Row],[Mdl Res Intercept]]+Sales[[#This Row],[Days Prior Total]],-2)</f>
        <v>853000</v>
      </c>
      <c r="CL30" s="14">
        <f>ROUND(Sales[[#This Row],[Mdl Land Intercept]]+Sales[[#This Row],[Mdl LnAcres]],-2)</f>
        <v>65500</v>
      </c>
      <c r="CM30" s="14">
        <f>Sales[[#This Row],[Unadj Res Value]]+Sales[[#This Row],[Unadj Det Value]]+Sales[[#This Row],[Unadj Land Value]]</f>
        <v>918500</v>
      </c>
      <c r="CN30" s="15">
        <f>Sales[[#This Row],[Unadj Total Value]]/Sales[[#This Row],[Price]]</f>
        <v>0.92871587462082916</v>
      </c>
      <c r="CO30" s="15">
        <f>(Sales[[#This Row],[Unadj Total Value]]-Sales[[#This Row],[24Final]])/Sales[[#This Row],[24Final]]</f>
        <v>-7.9013336007219492E-2</v>
      </c>
      <c r="CP30">
        <f>VLOOKUP(Sales[[#This Row],[TNbhd]],Lookups!$M$2:$P$4,4,FALSE)</f>
        <v>0.97570000000000001</v>
      </c>
      <c r="CQ30">
        <f>VLOOKUP(Sales[[#This Row],[Qlty]],Lookups!$M$6:$P$20,4,FALSE)</f>
        <v>0.99519999999999997</v>
      </c>
      <c r="CR30">
        <f>VLOOKUP(Sales[[#This Row],[Cnd]],Lookups!$R$6:$U$15,4,FALSE)</f>
        <v>0.98370000000000002</v>
      </c>
      <c r="CS30">
        <f>VLOOKUP(Sales[[#This Row],[LivArea Range]],Lookups!$R$23:$U$39,4,FALSE)</f>
        <v>1.0048999999999999</v>
      </c>
      <c r="CT30">
        <f>VLOOKUP(Sales[[#This Row],[Decade]],Lookups!$M$23:$P$35,4,FALSE)</f>
        <v>0.97499999999999998</v>
      </c>
      <c r="CU30">
        <f>Sales[[#This Row],[Nbhd Adj]]*0.95</f>
        <v>0.92691499999999993</v>
      </c>
      <c r="CV30">
        <f>Sales[[#This Row],[Nbhd Adj]]*Sales[[#This Row],[Quality Adj]]*Sales[[#This Row],[Condition Adj]]*Sales[[#This Row],[Living Area Adj]]*Sales[[#This Row],[Decade Adj]]*0.95</f>
        <v>0.88907911993359701</v>
      </c>
      <c r="CW30">
        <f>ROUND(SUM(Sales[[#This Row],[Mdl Qlty]:[Mdl GarageArea]])+Sales[[#This Row],[Mdl Res Intercept]]*Sales[[#This Row],[Res Adj ]],-2)</f>
        <v>945700</v>
      </c>
      <c r="CX30">
        <f>ROUND(Sales[[#This Row],[25Det]]*Sales[[#This Row],[Det/Nbhd Adj]],-2)</f>
        <v>0</v>
      </c>
      <c r="CY30">
        <f>Sales[[#This Row],[Adjusted Res]]+Sales[[#This Row],[Adj Det ]]</f>
        <v>945700</v>
      </c>
      <c r="CZ30">
        <f>ROUND((Sales[[#This Row],[Mdl Land Intercept]]+Sales[[#This Row],[Mdl LnAcres]])*Sales[[#This Row],[Det/Nbhd Adj]],-2)</f>
        <v>60700</v>
      </c>
      <c r="DA30">
        <f>Sales[[#This Row],[Adjusted Impr Total]]+Sales[[#This Row],[Adjusted Land Total]]</f>
        <v>1006400</v>
      </c>
      <c r="DB30">
        <f>IFERROR((Sales[[#This Row],[Adjusted Impr Total]]-Sales[[#This Row],[24Bldg]])/Sales[[#This Row],[24Bldg]],0)</f>
        <v>6.7020196321787212E-2</v>
      </c>
      <c r="DC30">
        <f>(Sales[[#This Row],[Adjusted Land Total]]-Sales[[#This Row],[24Lnd]])/Sales[[#This Row],[24Lnd]]</f>
        <v>-0.45315315315315313</v>
      </c>
      <c r="DD30">
        <f>(Sales[[#This Row],[Adjusted Total]]-Sales[[#This Row],[24Final]])/Sales[[#This Row],[24Final]]</f>
        <v>9.1246365186002203E-3</v>
      </c>
      <c r="DE30">
        <f>(Sales[[#This Row],[Adjusted Total]]+Sales[[#This Row],[Days Prior Total]])/Sales[[#This Row],[Price]]</f>
        <v>0.91414765145601617</v>
      </c>
    </row>
    <row r="31" spans="1:109" x14ac:dyDescent="0.3">
      <c r="A31">
        <v>2025</v>
      </c>
      <c r="B31">
        <v>18131923405</v>
      </c>
      <c r="C31">
        <v>-0.4780358009429998</v>
      </c>
      <c r="D31">
        <v>0.62</v>
      </c>
      <c r="E31">
        <v>27084</v>
      </c>
      <c r="F31">
        <v>1</v>
      </c>
      <c r="G31" t="s">
        <v>89</v>
      </c>
      <c r="H31" t="s">
        <v>203</v>
      </c>
      <c r="I31" t="s">
        <v>302</v>
      </c>
      <c r="J31" t="s">
        <v>26</v>
      </c>
      <c r="K31">
        <v>11</v>
      </c>
      <c r="L31">
        <v>259</v>
      </c>
      <c r="M31" t="s">
        <v>204</v>
      </c>
      <c r="N31" t="s">
        <v>189</v>
      </c>
      <c r="O31" t="s">
        <v>76</v>
      </c>
      <c r="P31">
        <v>2010</v>
      </c>
      <c r="Q31">
        <v>2010</v>
      </c>
      <c r="R31">
        <v>20</v>
      </c>
      <c r="S31">
        <v>14</v>
      </c>
      <c r="T31">
        <v>14</v>
      </c>
      <c r="U31">
        <v>1</v>
      </c>
      <c r="V31">
        <v>2352</v>
      </c>
      <c r="W31">
        <v>0</v>
      </c>
      <c r="X31">
        <v>0</v>
      </c>
      <c r="Y31">
        <v>0</v>
      </c>
      <c r="Z31">
        <v>0</v>
      </c>
      <c r="AA31">
        <v>0</v>
      </c>
      <c r="AB31">
        <v>2352</v>
      </c>
      <c r="AC31">
        <v>2500</v>
      </c>
      <c r="AD31">
        <v>3</v>
      </c>
      <c r="AE31" t="s">
        <v>132</v>
      </c>
      <c r="AF31" t="s">
        <v>153</v>
      </c>
      <c r="AG31" t="s">
        <v>111</v>
      </c>
      <c r="AH31" t="s">
        <v>51</v>
      </c>
      <c r="AI31">
        <v>0</v>
      </c>
      <c r="AJ31">
        <v>1</v>
      </c>
      <c r="AK31">
        <v>0</v>
      </c>
      <c r="AL31">
        <v>0</v>
      </c>
      <c r="AM31">
        <v>1</v>
      </c>
      <c r="AN31">
        <v>13</v>
      </c>
      <c r="AO31">
        <v>1132</v>
      </c>
      <c r="AP31">
        <v>0</v>
      </c>
      <c r="AQ31">
        <v>1132</v>
      </c>
      <c r="AR31">
        <v>0</v>
      </c>
      <c r="AS31">
        <v>0</v>
      </c>
      <c r="AT31">
        <v>378</v>
      </c>
      <c r="AU31">
        <v>0</v>
      </c>
      <c r="AV31">
        <v>100</v>
      </c>
      <c r="AW31">
        <v>100</v>
      </c>
      <c r="AX31">
        <v>667868</v>
      </c>
      <c r="AY31">
        <v>654511</v>
      </c>
      <c r="AZ31">
        <v>559</v>
      </c>
      <c r="BA31">
        <v>365</v>
      </c>
      <c r="BB31">
        <v>194</v>
      </c>
      <c r="BC31">
        <v>0</v>
      </c>
      <c r="BD31" s="6">
        <v>44733</v>
      </c>
      <c r="BE31" t="s">
        <v>40</v>
      </c>
      <c r="BF31">
        <v>725000</v>
      </c>
      <c r="BG31">
        <v>725000</v>
      </c>
      <c r="BH31" t="s">
        <v>198</v>
      </c>
      <c r="BI31">
        <v>30</v>
      </c>
      <c r="BJ31" t="s">
        <v>51</v>
      </c>
      <c r="BK31" t="s">
        <v>314</v>
      </c>
      <c r="BL31">
        <v>647100</v>
      </c>
      <c r="BM31">
        <v>133400</v>
      </c>
      <c r="BN31">
        <v>513700</v>
      </c>
      <c r="BO31">
        <v>0</v>
      </c>
      <c r="BP31">
        <v>0.89255172413793105</v>
      </c>
      <c r="BQ31">
        <v>778225.55776831822</v>
      </c>
      <c r="BR31">
        <v>817496.6322709386</v>
      </c>
      <c r="BS31" s="7">
        <f>(BR31-BL31)/BL31</f>
        <v>0.26332349292371904</v>
      </c>
      <c r="BT31" s="14">
        <f>(Sales[[#This Row],[DP1]]*Lookups!$B$51)+(Sales[[#This Row],[DP2]]*Lookups!$B$52)+(Sales[[#This Row],[DP3]]*Lookups!$B$53)</f>
        <v>-39271.088076</v>
      </c>
      <c r="BU31" s="14">
        <f>Lookups!$B$48*0.5</f>
        <v>87214.824999999997</v>
      </c>
      <c r="BV31" s="14">
        <f>Lookups!$B$48*0.5</f>
        <v>87214.824999999997</v>
      </c>
      <c r="BW31" s="14">
        <f>Lookups!$B$49*Sales[[#This Row],[LnAcres]]</f>
        <v>-11964.206408488055</v>
      </c>
      <c r="BX31" s="14">
        <f>VLOOKUP(Sales[[#This Row],[Qlty]],Lookups!$A$54:$E$67,2,FALSE)</f>
        <v>141724.10243</v>
      </c>
      <c r="BY31" s="14">
        <f>VLOOKUP(Sales[[#This Row],[Cnd]],Lookups!$A$68:$E$76,2,FALSE)</f>
        <v>133581.64413</v>
      </c>
      <c r="BZ31" s="14">
        <f>Sales[[#This Row],[Age]]*Lookups!$B$77</f>
        <v>2583.1740199999999</v>
      </c>
      <c r="CA31" s="14">
        <f>Sales[[#This Row],[MainFn]]*Lookups!$B$78</f>
        <v>162484.295568</v>
      </c>
      <c r="CB31" s="14">
        <f>Sales[[#This Row],[UpprFn]]*Lookups!$B$79</f>
        <v>0</v>
      </c>
      <c r="CC31" s="14">
        <f>Sales[[#This Row],[AddFn]]*Lookups!$B$80</f>
        <v>0</v>
      </c>
      <c r="CD31" s="14">
        <f>Sales[[#This Row],[Bsmt]]*Lookups!$B$81</f>
        <v>0</v>
      </c>
      <c r="CE31" s="14">
        <f>Sales[[#This Row],[Fixtures]]*Lookups!$B$84</f>
        <v>132016.30000000002</v>
      </c>
      <c r="CF31" s="14">
        <f>Sales[[#This Row],[MsnryFP]]*Lookups!$B$82</f>
        <v>25273.623</v>
      </c>
      <c r="CG31" s="14">
        <f>Sales[[#This Row],[PrefabFP]]*Lookups!$B$83</f>
        <v>0</v>
      </c>
      <c r="CH31" s="14">
        <f>Sales[[#This Row],[GarageArea]]*Lookups!$B$85</f>
        <v>57368.058603999998</v>
      </c>
      <c r="CI31" s="14">
        <f>SUM(Sales[[#This Row],[Days Prior Total]:[Mdl GarageArea]])</f>
        <v>778225.553267512</v>
      </c>
      <c r="CJ31" s="14">
        <f>ROUND(Sales[[#This Row],[25Det]],-2)</f>
        <v>0</v>
      </c>
      <c r="CK31" s="14">
        <f>ROUND(SUM(Sales[[#This Row],[Mdl Qlty]:[Mdl GarageArea]])+Sales[[#This Row],[Mdl Res Intercept]]+Sales[[#This Row],[Days Prior Total]],-2)</f>
        <v>703000</v>
      </c>
      <c r="CL31" s="14">
        <f>ROUND(Sales[[#This Row],[Mdl Land Intercept]]+Sales[[#This Row],[Mdl LnAcres]],-2)</f>
        <v>75300</v>
      </c>
      <c r="CM31" s="14">
        <f>Sales[[#This Row],[Unadj Res Value]]+Sales[[#This Row],[Unadj Det Value]]+Sales[[#This Row],[Unadj Land Value]]</f>
        <v>778300</v>
      </c>
      <c r="CN31" s="15">
        <f>Sales[[#This Row],[Unadj Total Value]]/Sales[[#This Row],[Price]]</f>
        <v>1.0735172413793104</v>
      </c>
      <c r="CO31" s="15">
        <f>(Sales[[#This Row],[Unadj Total Value]]-Sales[[#This Row],[24Final]])/Sales[[#This Row],[24Final]]</f>
        <v>0.20275073404419719</v>
      </c>
      <c r="CP31">
        <f>VLOOKUP(Sales[[#This Row],[TNbhd]],Lookups!$M$2:$P$4,4,FALSE)</f>
        <v>0.97570000000000001</v>
      </c>
      <c r="CQ31">
        <f>VLOOKUP(Sales[[#This Row],[Qlty]],Lookups!$M$6:$P$20,4,FALSE)</f>
        <v>1.0051000000000001</v>
      </c>
      <c r="CR31">
        <f>VLOOKUP(Sales[[#This Row],[Cnd]],Lookups!$R$6:$U$15,4,FALSE)</f>
        <v>0.98370000000000002</v>
      </c>
      <c r="CS31">
        <f>VLOOKUP(Sales[[#This Row],[LivArea Range]],Lookups!$R$23:$U$39,4,FALSE)</f>
        <v>0.93440000000000001</v>
      </c>
      <c r="CT31">
        <f>VLOOKUP(Sales[[#This Row],[Decade]],Lookups!$M$23:$P$35,4,FALSE)</f>
        <v>0.97499999999999998</v>
      </c>
      <c r="CU31">
        <f>Sales[[#This Row],[Nbhd Adj]]*0.95</f>
        <v>0.92691499999999993</v>
      </c>
      <c r="CV31">
        <f>Sales[[#This Row],[Nbhd Adj]]*Sales[[#This Row],[Quality Adj]]*Sales[[#This Row],[Condition Adj]]*Sales[[#This Row],[Living Area Adj]]*Sales[[#This Row],[Decade Adj]]*0.95</f>
        <v>0.83492852753346392</v>
      </c>
      <c r="CW31">
        <f>ROUND(SUM(Sales[[#This Row],[Mdl Qlty]:[Mdl GarageArea]])+Sales[[#This Row],[Mdl Res Intercept]]*Sales[[#This Row],[Res Adj ]],-2)</f>
        <v>727800</v>
      </c>
      <c r="CX31">
        <f>ROUND(Sales[[#This Row],[25Det]]*Sales[[#This Row],[Det/Nbhd Adj]],-2)</f>
        <v>0</v>
      </c>
      <c r="CY31">
        <f>Sales[[#This Row],[Adjusted Res]]+Sales[[#This Row],[Adj Det ]]</f>
        <v>727800</v>
      </c>
      <c r="CZ31">
        <f>ROUND((Sales[[#This Row],[Mdl Land Intercept]]+Sales[[#This Row],[Mdl LnAcres]])*Sales[[#This Row],[Det/Nbhd Adj]],-2)</f>
        <v>69800</v>
      </c>
      <c r="DA31">
        <f>Sales[[#This Row],[Adjusted Impr Total]]+Sales[[#This Row],[Adjusted Land Total]]</f>
        <v>797600</v>
      </c>
      <c r="DB31">
        <f>IFERROR((Sales[[#This Row],[Adjusted Impr Total]]-Sales[[#This Row],[24Bldg]])/Sales[[#This Row],[24Bldg]],0)</f>
        <v>0.41678022191940822</v>
      </c>
      <c r="DC31">
        <f>(Sales[[#This Row],[Adjusted Land Total]]-Sales[[#This Row],[24Lnd]])/Sales[[#This Row],[24Lnd]]</f>
        <v>-0.47676161919040477</v>
      </c>
      <c r="DD31">
        <f>(Sales[[#This Row],[Adjusted Total]]-Sales[[#This Row],[24Final]])/Sales[[#This Row],[24Final]]</f>
        <v>0.2325761087930768</v>
      </c>
      <c r="DE31">
        <f>(Sales[[#This Row],[Adjusted Total]]+Sales[[#This Row],[Days Prior Total]])/Sales[[#This Row],[Price]]</f>
        <v>1.0459709129986208</v>
      </c>
    </row>
    <row r="32" spans="1:109" x14ac:dyDescent="0.3">
      <c r="A32">
        <v>2025</v>
      </c>
      <c r="B32">
        <v>18131923409</v>
      </c>
      <c r="C32">
        <v>-0.6348782724359695</v>
      </c>
      <c r="D32">
        <v>0.53</v>
      </c>
      <c r="E32">
        <v>23215</v>
      </c>
      <c r="F32">
        <v>1</v>
      </c>
      <c r="G32" t="s">
        <v>89</v>
      </c>
      <c r="H32" t="s">
        <v>203</v>
      </c>
      <c r="I32" t="s">
        <v>302</v>
      </c>
      <c r="J32" t="s">
        <v>26</v>
      </c>
      <c r="K32">
        <v>11</v>
      </c>
      <c r="L32">
        <v>259</v>
      </c>
      <c r="M32" t="s">
        <v>204</v>
      </c>
      <c r="N32" t="s">
        <v>189</v>
      </c>
      <c r="O32" t="s">
        <v>76</v>
      </c>
      <c r="P32">
        <v>2010</v>
      </c>
      <c r="Q32">
        <v>2010</v>
      </c>
      <c r="R32">
        <v>20</v>
      </c>
      <c r="S32">
        <v>14</v>
      </c>
      <c r="T32">
        <v>14</v>
      </c>
      <c r="U32">
        <v>1</v>
      </c>
      <c r="V32">
        <v>2508</v>
      </c>
      <c r="W32">
        <v>0</v>
      </c>
      <c r="X32">
        <v>0</v>
      </c>
      <c r="Y32">
        <v>1300</v>
      </c>
      <c r="Z32">
        <v>1300</v>
      </c>
      <c r="AA32">
        <v>0</v>
      </c>
      <c r="AB32">
        <v>3808</v>
      </c>
      <c r="AC32">
        <v>4000</v>
      </c>
      <c r="AD32">
        <v>3</v>
      </c>
      <c r="AE32" t="s">
        <v>132</v>
      </c>
      <c r="AF32" t="s">
        <v>153</v>
      </c>
      <c r="AG32" t="s">
        <v>111</v>
      </c>
      <c r="AH32" t="s">
        <v>51</v>
      </c>
      <c r="AI32">
        <v>0</v>
      </c>
      <c r="AJ32">
        <v>0</v>
      </c>
      <c r="AK32">
        <v>1</v>
      </c>
      <c r="AL32">
        <v>1</v>
      </c>
      <c r="AM32">
        <v>1</v>
      </c>
      <c r="AN32">
        <v>18</v>
      </c>
      <c r="AO32">
        <v>1768</v>
      </c>
      <c r="AP32">
        <v>0</v>
      </c>
      <c r="AQ32">
        <v>1768</v>
      </c>
      <c r="AR32">
        <v>0</v>
      </c>
      <c r="AS32">
        <v>0</v>
      </c>
      <c r="AT32">
        <v>2648</v>
      </c>
      <c r="AU32">
        <v>0</v>
      </c>
      <c r="AV32">
        <v>100</v>
      </c>
      <c r="AW32">
        <v>100</v>
      </c>
      <c r="AX32">
        <v>996365</v>
      </c>
      <c r="AY32">
        <v>936583</v>
      </c>
      <c r="AZ32">
        <v>530</v>
      </c>
      <c r="BA32">
        <v>365</v>
      </c>
      <c r="BB32">
        <v>165</v>
      </c>
      <c r="BC32">
        <v>0</v>
      </c>
      <c r="BD32" s="6">
        <v>44762</v>
      </c>
      <c r="BE32" t="s">
        <v>164</v>
      </c>
      <c r="BF32">
        <v>1000000</v>
      </c>
      <c r="BG32">
        <v>920286</v>
      </c>
      <c r="BH32" t="s">
        <v>198</v>
      </c>
      <c r="BI32">
        <v>30</v>
      </c>
      <c r="BJ32" t="s">
        <v>51</v>
      </c>
      <c r="BK32" t="s">
        <v>314</v>
      </c>
      <c r="BL32">
        <v>927700</v>
      </c>
      <c r="BM32">
        <v>124500</v>
      </c>
      <c r="BN32">
        <v>803200</v>
      </c>
      <c r="BO32">
        <v>79714</v>
      </c>
      <c r="BP32">
        <v>0.92769999999999997</v>
      </c>
      <c r="BQ32">
        <v>919333.63260081236</v>
      </c>
      <c r="BR32">
        <v>961363.89893250261</v>
      </c>
      <c r="BS32" s="7">
        <f>(BR32-BL32)/BL32</f>
        <v>3.6287484027705728E-2</v>
      </c>
      <c r="BT32" s="14">
        <f>(Sales[[#This Row],[DP1]]*Lookups!$B$51)+(Sales[[#This Row],[DP2]]*Lookups!$B$52)+(Sales[[#This Row],[DP3]]*Lookups!$B$53)</f>
        <v>-42030.279910000005</v>
      </c>
      <c r="BU32" s="14">
        <f>Lookups!$B$48*0.5</f>
        <v>87214.824999999997</v>
      </c>
      <c r="BV32" s="14">
        <f>Lookups!$B$48*0.5</f>
        <v>87214.824999999997</v>
      </c>
      <c r="BW32" s="14">
        <f>Lookups!$B$49*Sales[[#This Row],[LnAcres]]</f>
        <v>-15889.63563127349</v>
      </c>
      <c r="BX32" s="14">
        <f>VLOOKUP(Sales[[#This Row],[Qlty]],Lookups!$A$54:$E$67,2,FALSE)</f>
        <v>141724.10243</v>
      </c>
      <c r="BY32" s="14">
        <f>VLOOKUP(Sales[[#This Row],[Cnd]],Lookups!$A$68:$E$76,2,FALSE)</f>
        <v>133581.64413</v>
      </c>
      <c r="BZ32" s="14">
        <f>Sales[[#This Row],[Age]]*Lookups!$B$77</f>
        <v>2583.1740199999999</v>
      </c>
      <c r="CA32" s="14">
        <f>Sales[[#This Row],[MainFn]]*Lookups!$B$78</f>
        <v>173261.315172</v>
      </c>
      <c r="CB32" s="14">
        <f>Sales[[#This Row],[UpprFn]]*Lookups!$B$79</f>
        <v>0</v>
      </c>
      <c r="CC32" s="14">
        <f>Sales[[#This Row],[AddFn]]*Lookups!$B$80</f>
        <v>0</v>
      </c>
      <c r="CD32" s="14">
        <f>Sales[[#This Row],[Bsmt]]*Lookups!$B$81</f>
        <v>37191.255399999995</v>
      </c>
      <c r="CE32" s="14">
        <f>Sales[[#This Row],[Fixtures]]*Lookups!$B$84</f>
        <v>182791.80000000002</v>
      </c>
      <c r="CF32" s="14">
        <f>Sales[[#This Row],[MsnryFP]]*Lookups!$B$82</f>
        <v>0</v>
      </c>
      <c r="CG32" s="14">
        <f>Sales[[#This Row],[PrefabFP]]*Lookups!$B$83</f>
        <v>42091.021999999997</v>
      </c>
      <c r="CH32" s="14">
        <f>Sales[[#This Row],[GarageArea]]*Lookups!$B$85</f>
        <v>89599.582695999998</v>
      </c>
      <c r="CI32" s="14">
        <f>SUM(Sales[[#This Row],[Days Prior Total]:[Mdl GarageArea]])</f>
        <v>919333.63030672655</v>
      </c>
      <c r="CJ32" s="14">
        <f>ROUND(Sales[[#This Row],[25Det]],-2)</f>
        <v>79700</v>
      </c>
      <c r="CK32" s="14">
        <f>ROUND(SUM(Sales[[#This Row],[Mdl Qlty]:[Mdl GarageArea]])+Sales[[#This Row],[Mdl Res Intercept]]+Sales[[#This Row],[Days Prior Total]],-2)</f>
        <v>848000</v>
      </c>
      <c r="CL32" s="14">
        <f>ROUND(Sales[[#This Row],[Mdl Land Intercept]]+Sales[[#This Row],[Mdl LnAcres]],-2)</f>
        <v>71300</v>
      </c>
      <c r="CM32" s="14">
        <f>Sales[[#This Row],[Unadj Res Value]]+Sales[[#This Row],[Unadj Det Value]]+Sales[[#This Row],[Unadj Land Value]]</f>
        <v>999000</v>
      </c>
      <c r="CN32" s="15">
        <f>Sales[[#This Row],[Unadj Total Value]]/Sales[[#This Row],[Price]]</f>
        <v>0.999</v>
      </c>
      <c r="CO32" s="15">
        <f>(Sales[[#This Row],[Unadj Total Value]]-Sales[[#This Row],[24Final]])/Sales[[#This Row],[24Final]]</f>
        <v>7.6856742481405629E-2</v>
      </c>
      <c r="CP32">
        <f>VLOOKUP(Sales[[#This Row],[TNbhd]],Lookups!$M$2:$P$4,4,FALSE)</f>
        <v>0.97570000000000001</v>
      </c>
      <c r="CQ32">
        <f>VLOOKUP(Sales[[#This Row],[Qlty]],Lookups!$M$6:$P$20,4,FALSE)</f>
        <v>1.0051000000000001</v>
      </c>
      <c r="CR32">
        <f>VLOOKUP(Sales[[#This Row],[Cnd]],Lookups!$R$6:$U$15,4,FALSE)</f>
        <v>0.98370000000000002</v>
      </c>
      <c r="CS32">
        <f>VLOOKUP(Sales[[#This Row],[LivArea Range]],Lookups!$R$23:$U$39,4,FALSE)</f>
        <v>1.034</v>
      </c>
      <c r="CT32">
        <f>VLOOKUP(Sales[[#This Row],[Decade]],Lookups!$M$23:$P$35,4,FALSE)</f>
        <v>0.97499999999999998</v>
      </c>
      <c r="CU32">
        <f>Sales[[#This Row],[Nbhd Adj]]*0.95</f>
        <v>0.92691499999999993</v>
      </c>
      <c r="CV32">
        <f>Sales[[#This Row],[Nbhd Adj]]*Sales[[#This Row],[Quality Adj]]*Sales[[#This Row],[Condition Adj]]*Sales[[#This Row],[Living Area Adj]]*Sales[[#This Row],[Decade Adj]]*0.95</f>
        <v>0.92392561801113193</v>
      </c>
      <c r="CW32">
        <f>ROUND(SUM(Sales[[#This Row],[Mdl Qlty]:[Mdl GarageArea]])+Sales[[#This Row],[Mdl Res Intercept]]*Sales[[#This Row],[Res Adj ]],-2)</f>
        <v>883400</v>
      </c>
      <c r="CX32">
        <f>ROUND(Sales[[#This Row],[25Det]]*Sales[[#This Row],[Det/Nbhd Adj]],-2)</f>
        <v>73900</v>
      </c>
      <c r="CY32">
        <f>Sales[[#This Row],[Adjusted Res]]+Sales[[#This Row],[Adj Det ]]</f>
        <v>957300</v>
      </c>
      <c r="CZ32">
        <f>ROUND((Sales[[#This Row],[Mdl Land Intercept]]+Sales[[#This Row],[Mdl LnAcres]])*Sales[[#This Row],[Det/Nbhd Adj]],-2)</f>
        <v>66100</v>
      </c>
      <c r="DA32">
        <f>Sales[[#This Row],[Adjusted Impr Total]]+Sales[[#This Row],[Adjusted Land Total]]</f>
        <v>1023400</v>
      </c>
      <c r="DB32">
        <f>IFERROR((Sales[[#This Row],[Adjusted Impr Total]]-Sales[[#This Row],[24Bldg]])/Sales[[#This Row],[24Bldg]],0)</f>
        <v>0.19185756972111553</v>
      </c>
      <c r="DC32">
        <f>(Sales[[#This Row],[Adjusted Land Total]]-Sales[[#This Row],[24Lnd]])/Sales[[#This Row],[24Lnd]]</f>
        <v>-0.46907630522088356</v>
      </c>
      <c r="DD32">
        <f>(Sales[[#This Row],[Adjusted Total]]-Sales[[#This Row],[24Final]])/Sales[[#This Row],[24Final]]</f>
        <v>0.10315834860407459</v>
      </c>
      <c r="DE32">
        <f>(Sales[[#This Row],[Adjusted Total]]+Sales[[#This Row],[Days Prior Total]])/Sales[[#This Row],[Price]]</f>
        <v>0.98136972009000001</v>
      </c>
    </row>
    <row r="33" spans="1:109" x14ac:dyDescent="0.3">
      <c r="A33">
        <v>2025</v>
      </c>
      <c r="B33">
        <v>18131743483</v>
      </c>
      <c r="C33">
        <v>-1.3093333199837622</v>
      </c>
      <c r="D33">
        <v>0.27</v>
      </c>
      <c r="E33">
        <v>11759</v>
      </c>
      <c r="F33">
        <v>1</v>
      </c>
      <c r="G33" t="s">
        <v>89</v>
      </c>
      <c r="H33">
        <v>3041</v>
      </c>
      <c r="I33" t="s">
        <v>302</v>
      </c>
      <c r="J33" t="s">
        <v>110</v>
      </c>
      <c r="K33">
        <v>11</v>
      </c>
      <c r="L33">
        <v>331</v>
      </c>
      <c r="M33" t="s">
        <v>204</v>
      </c>
      <c r="N33" t="s">
        <v>50</v>
      </c>
      <c r="O33" t="s">
        <v>258</v>
      </c>
      <c r="P33">
        <v>2009</v>
      </c>
      <c r="Q33">
        <v>2009</v>
      </c>
      <c r="R33">
        <v>20</v>
      </c>
      <c r="S33">
        <v>15</v>
      </c>
      <c r="T33">
        <v>15</v>
      </c>
      <c r="U33">
        <v>1</v>
      </c>
      <c r="V33">
        <v>2571</v>
      </c>
      <c r="W33">
        <v>0</v>
      </c>
      <c r="X33">
        <v>475</v>
      </c>
      <c r="Y33">
        <v>0</v>
      </c>
      <c r="Z33">
        <v>0</v>
      </c>
      <c r="AA33">
        <v>0</v>
      </c>
      <c r="AB33">
        <v>3046</v>
      </c>
      <c r="AC33">
        <v>3500</v>
      </c>
      <c r="AD33">
        <v>3</v>
      </c>
      <c r="AF33" t="s">
        <v>153</v>
      </c>
      <c r="AG33" t="s">
        <v>274</v>
      </c>
      <c r="AI33">
        <v>0</v>
      </c>
      <c r="AJ33">
        <v>0</v>
      </c>
      <c r="AK33">
        <v>1</v>
      </c>
      <c r="AL33">
        <v>0</v>
      </c>
      <c r="AM33">
        <v>1</v>
      </c>
      <c r="AN33">
        <v>13</v>
      </c>
      <c r="AO33">
        <v>788</v>
      </c>
      <c r="AP33">
        <v>0</v>
      </c>
      <c r="AQ33">
        <v>788</v>
      </c>
      <c r="AR33">
        <v>0</v>
      </c>
      <c r="AS33">
        <v>0</v>
      </c>
      <c r="AT33">
        <v>0</v>
      </c>
      <c r="AU33">
        <v>0</v>
      </c>
      <c r="AV33">
        <v>100</v>
      </c>
      <c r="AW33">
        <v>100</v>
      </c>
      <c r="AX33">
        <v>768273</v>
      </c>
      <c r="AY33">
        <v>491695</v>
      </c>
      <c r="AZ33">
        <v>279</v>
      </c>
      <c r="BA33">
        <v>279</v>
      </c>
      <c r="BB33">
        <v>0</v>
      </c>
      <c r="BC33">
        <v>0</v>
      </c>
      <c r="BD33" s="6">
        <v>45013</v>
      </c>
      <c r="BE33" t="s">
        <v>99</v>
      </c>
      <c r="BF33">
        <v>700000</v>
      </c>
      <c r="BG33">
        <v>700000</v>
      </c>
      <c r="BH33" t="s">
        <v>198</v>
      </c>
      <c r="BI33">
        <v>30</v>
      </c>
      <c r="BJ33" t="s">
        <v>51</v>
      </c>
      <c r="BK33" t="s">
        <v>314</v>
      </c>
      <c r="BL33">
        <v>624900</v>
      </c>
      <c r="BM33">
        <v>86200</v>
      </c>
      <c r="BN33">
        <v>538700</v>
      </c>
      <c r="BO33">
        <v>0</v>
      </c>
      <c r="BP33">
        <v>0.89271428571428568</v>
      </c>
      <c r="BQ33">
        <v>667552.54592151777</v>
      </c>
      <c r="BR33">
        <v>711679.73352103983</v>
      </c>
      <c r="BS33" s="7">
        <f>(BR33-BL33)/BL33</f>
        <v>0.13886979280051182</v>
      </c>
      <c r="BT33" s="14">
        <f>(Sales[[#This Row],[DP1]]*Lookups!$B$51)+(Sales[[#This Row],[DP2]]*Lookups!$B$52)+(Sales[[#This Row],[DP3]]*Lookups!$B$53)</f>
        <v>-44127.198000000004</v>
      </c>
      <c r="BU33" s="14">
        <f>Lookups!$B$48*0.5</f>
        <v>87214.824999999997</v>
      </c>
      <c r="BV33" s="14">
        <f>Lookups!$B$48*0.5</f>
        <v>87214.824999999997</v>
      </c>
      <c r="BW33" s="14">
        <f>Lookups!$B$49*Sales[[#This Row],[LnAcres]]</f>
        <v>-32769.792695222328</v>
      </c>
      <c r="BX33" s="14">
        <f>VLOOKUP(Sales[[#This Row],[Qlty]],Lookups!$A$54:$E$67,2,FALSE)</f>
        <v>46722.525125</v>
      </c>
      <c r="BY33" s="14">
        <f>VLOOKUP(Sales[[#This Row],[Cnd]],Lookups!$A$68:$E$76,2,FALSE)</f>
        <v>106557.38887</v>
      </c>
      <c r="BZ33" s="14">
        <f>Sales[[#This Row],[Age]]*Lookups!$B$77</f>
        <v>2767.6864500000001</v>
      </c>
      <c r="CA33" s="14">
        <f>Sales[[#This Row],[MainFn]]*Lookups!$B$78</f>
        <v>177613.57308900001</v>
      </c>
      <c r="CB33" s="14">
        <f>Sales[[#This Row],[UpprFn]]*Lookups!$B$79</f>
        <v>0</v>
      </c>
      <c r="CC33" s="14">
        <f>Sales[[#This Row],[AddFn]]*Lookups!$B$80</f>
        <v>22316.734525</v>
      </c>
      <c r="CD33" s="14">
        <f>Sales[[#This Row],[Bsmt]]*Lookups!$B$81</f>
        <v>0</v>
      </c>
      <c r="CE33" s="14">
        <f>Sales[[#This Row],[Fixtures]]*Lookups!$B$84</f>
        <v>132016.30000000002</v>
      </c>
      <c r="CF33" s="14">
        <f>Sales[[#This Row],[MsnryFP]]*Lookups!$B$82</f>
        <v>0</v>
      </c>
      <c r="CG33" s="14">
        <f>Sales[[#This Row],[PrefabFP]]*Lookups!$B$83</f>
        <v>42091.021999999997</v>
      </c>
      <c r="CH33" s="14">
        <f>Sales[[#This Row],[GarageArea]]*Lookups!$B$85</f>
        <v>39934.655636000003</v>
      </c>
      <c r="CI33" s="14">
        <f>SUM(Sales[[#This Row],[Days Prior Total]:[Mdl GarageArea]])</f>
        <v>667552.54499977769</v>
      </c>
      <c r="CJ33" s="14">
        <f>ROUND(Sales[[#This Row],[25Det]],-2)</f>
        <v>0</v>
      </c>
      <c r="CK33" s="14">
        <f>ROUND(SUM(Sales[[#This Row],[Mdl Qlty]:[Mdl GarageArea]])+Sales[[#This Row],[Mdl Res Intercept]]+Sales[[#This Row],[Days Prior Total]],-2)</f>
        <v>613100</v>
      </c>
      <c r="CL33" s="14">
        <f>ROUND(Sales[[#This Row],[Mdl Land Intercept]]+Sales[[#This Row],[Mdl LnAcres]],-2)</f>
        <v>54400</v>
      </c>
      <c r="CM33" s="14">
        <f>Sales[[#This Row],[Unadj Res Value]]+Sales[[#This Row],[Unadj Det Value]]+Sales[[#This Row],[Unadj Land Value]]</f>
        <v>667500</v>
      </c>
      <c r="CN33" s="15">
        <f>Sales[[#This Row],[Unadj Total Value]]/Sales[[#This Row],[Price]]</f>
        <v>0.95357142857142863</v>
      </c>
      <c r="CO33" s="15">
        <f>(Sales[[#This Row],[Unadj Total Value]]-Sales[[#This Row],[24Final]])/Sales[[#This Row],[24Final]]</f>
        <v>6.8170907345175225E-2</v>
      </c>
      <c r="CP33">
        <f>VLOOKUP(Sales[[#This Row],[TNbhd]],Lookups!$M$2:$P$4,4,FALSE)</f>
        <v>0.97570000000000001</v>
      </c>
      <c r="CQ33">
        <f>VLOOKUP(Sales[[#This Row],[Qlty]],Lookups!$M$6:$P$20,4,FALSE)</f>
        <v>0.98329999999999995</v>
      </c>
      <c r="CR33">
        <f>VLOOKUP(Sales[[#This Row],[Cnd]],Lookups!$R$6:$U$15,4,FALSE)</f>
        <v>0.9748</v>
      </c>
      <c r="CS33">
        <f>VLOOKUP(Sales[[#This Row],[LivArea Range]],Lookups!$R$23:$U$39,4,FALSE)</f>
        <v>0.99619999999999997</v>
      </c>
      <c r="CT33">
        <f>VLOOKUP(Sales[[#This Row],[Decade]],Lookups!$M$23:$P$35,4,FALSE)</f>
        <v>0.97499999999999998</v>
      </c>
      <c r="CU33">
        <f>Sales[[#This Row],[Nbhd Adj]]*0.95</f>
        <v>0.92691499999999993</v>
      </c>
      <c r="CV33">
        <f>Sales[[#This Row],[Nbhd Adj]]*Sales[[#This Row],[Quality Adj]]*Sales[[#This Row],[Condition Adj]]*Sales[[#This Row],[Living Area Adj]]*Sales[[#This Row],[Decade Adj]]*0.95</f>
        <v>0.8629638892873509</v>
      </c>
      <c r="CW33">
        <f>ROUND(SUM(Sales[[#This Row],[Mdl Qlty]:[Mdl GarageArea]])+Sales[[#This Row],[Mdl Res Intercept]]*Sales[[#This Row],[Res Adj ]],-2)</f>
        <v>645300</v>
      </c>
      <c r="CX33">
        <f>ROUND(Sales[[#This Row],[25Det]]*Sales[[#This Row],[Det/Nbhd Adj]],-2)</f>
        <v>0</v>
      </c>
      <c r="CY33">
        <f>Sales[[#This Row],[Adjusted Res]]+Sales[[#This Row],[Adj Det ]]</f>
        <v>645300</v>
      </c>
      <c r="CZ33">
        <f>ROUND((Sales[[#This Row],[Mdl Land Intercept]]+Sales[[#This Row],[Mdl LnAcres]])*Sales[[#This Row],[Det/Nbhd Adj]],-2)</f>
        <v>50500</v>
      </c>
      <c r="DA33">
        <f>Sales[[#This Row],[Adjusted Impr Total]]+Sales[[#This Row],[Adjusted Land Total]]</f>
        <v>695800</v>
      </c>
      <c r="DB33">
        <f>IFERROR((Sales[[#This Row],[Adjusted Impr Total]]-Sales[[#This Row],[24Bldg]])/Sales[[#This Row],[24Bldg]],0)</f>
        <v>0.19788379431965844</v>
      </c>
      <c r="DC33">
        <f>(Sales[[#This Row],[Adjusted Land Total]]-Sales[[#This Row],[24Lnd]])/Sales[[#This Row],[24Lnd]]</f>
        <v>-0.41415313225058004</v>
      </c>
      <c r="DD33">
        <f>(Sales[[#This Row],[Adjusted Total]]-Sales[[#This Row],[24Final]])/Sales[[#This Row],[24Final]]</f>
        <v>0.11345815330452873</v>
      </c>
      <c r="DE33">
        <f>(Sales[[#This Row],[Adjusted Total]]+Sales[[#This Row],[Days Prior Total]])/Sales[[#This Row],[Price]]</f>
        <v>0.93096114571428579</v>
      </c>
    </row>
    <row r="34" spans="1:109" x14ac:dyDescent="0.3">
      <c r="A34">
        <v>2025</v>
      </c>
      <c r="B34">
        <v>18131743470</v>
      </c>
      <c r="C34">
        <v>-1.1394342831883648</v>
      </c>
      <c r="D34">
        <v>0.32</v>
      </c>
      <c r="E34">
        <v>13867</v>
      </c>
      <c r="F34">
        <v>1</v>
      </c>
      <c r="G34" t="s">
        <v>89</v>
      </c>
      <c r="H34" t="s">
        <v>203</v>
      </c>
      <c r="I34" t="s">
        <v>302</v>
      </c>
      <c r="J34" t="s">
        <v>110</v>
      </c>
      <c r="K34">
        <v>11</v>
      </c>
      <c r="L34">
        <v>259</v>
      </c>
      <c r="M34" t="s">
        <v>204</v>
      </c>
      <c r="N34" t="s">
        <v>189</v>
      </c>
      <c r="O34" t="s">
        <v>76</v>
      </c>
      <c r="P34">
        <v>2009</v>
      </c>
      <c r="Q34">
        <v>2009</v>
      </c>
      <c r="R34">
        <v>20</v>
      </c>
      <c r="S34">
        <v>15</v>
      </c>
      <c r="T34">
        <v>15</v>
      </c>
      <c r="U34">
        <v>1</v>
      </c>
      <c r="V34">
        <v>2725</v>
      </c>
      <c r="W34">
        <v>0</v>
      </c>
      <c r="X34">
        <v>0</v>
      </c>
      <c r="Y34">
        <v>0</v>
      </c>
      <c r="Z34">
        <v>0</v>
      </c>
      <c r="AA34">
        <v>0</v>
      </c>
      <c r="AB34">
        <v>2725</v>
      </c>
      <c r="AC34">
        <v>3000</v>
      </c>
      <c r="AD34">
        <v>3</v>
      </c>
      <c r="AF34" t="s">
        <v>275</v>
      </c>
      <c r="AG34" t="s">
        <v>111</v>
      </c>
      <c r="AH34" t="s">
        <v>314</v>
      </c>
      <c r="AI34">
        <v>0</v>
      </c>
      <c r="AJ34">
        <v>0</v>
      </c>
      <c r="AK34">
        <v>1</v>
      </c>
      <c r="AL34">
        <v>0</v>
      </c>
      <c r="AM34">
        <v>1</v>
      </c>
      <c r="AN34">
        <v>13</v>
      </c>
      <c r="AO34">
        <v>826</v>
      </c>
      <c r="AP34">
        <v>0</v>
      </c>
      <c r="AQ34">
        <v>826</v>
      </c>
      <c r="AR34">
        <v>0</v>
      </c>
      <c r="AS34">
        <v>0</v>
      </c>
      <c r="AT34">
        <v>0</v>
      </c>
      <c r="AU34">
        <v>0</v>
      </c>
      <c r="AV34">
        <v>100</v>
      </c>
      <c r="AW34">
        <v>100</v>
      </c>
      <c r="AX34">
        <v>722028</v>
      </c>
      <c r="AY34">
        <v>700367</v>
      </c>
      <c r="AZ34">
        <v>831</v>
      </c>
      <c r="BA34">
        <v>365</v>
      </c>
      <c r="BB34">
        <v>365</v>
      </c>
      <c r="BC34">
        <v>101</v>
      </c>
      <c r="BD34" s="6">
        <v>44461</v>
      </c>
      <c r="BE34" t="s">
        <v>83</v>
      </c>
      <c r="BF34">
        <v>650000</v>
      </c>
      <c r="BG34">
        <v>650000</v>
      </c>
      <c r="BH34" t="s">
        <v>198</v>
      </c>
      <c r="BI34">
        <v>30</v>
      </c>
      <c r="BJ34" t="s">
        <v>51</v>
      </c>
      <c r="BK34" t="s">
        <v>314</v>
      </c>
      <c r="BL34">
        <v>600800</v>
      </c>
      <c r="BM34">
        <v>95800</v>
      </c>
      <c r="BN34">
        <v>505000</v>
      </c>
      <c r="BO34">
        <v>0</v>
      </c>
      <c r="BP34">
        <v>0.92430769230769227</v>
      </c>
      <c r="BQ34">
        <v>774037.12607156113</v>
      </c>
      <c r="BR34">
        <v>828205.67410774087</v>
      </c>
      <c r="BS34" s="7">
        <f>(BR34-BL34)/BL34</f>
        <v>0.37850478380116653</v>
      </c>
      <c r="BT34" s="14">
        <f>(Sales[[#This Row],[DP1]]*Lookups!$B$51)+(Sales[[#This Row],[DP2]]*Lookups!$B$52)+(Sales[[#This Row],[DP3]]*Lookups!$B$53)</f>
        <v>-54168.556710000004</v>
      </c>
      <c r="BU34" s="14">
        <f>Lookups!$B$48*0.5</f>
        <v>87214.824999999997</v>
      </c>
      <c r="BV34" s="14">
        <f>Lookups!$B$48*0.5</f>
        <v>87214.824999999997</v>
      </c>
      <c r="BW34" s="14">
        <f>Lookups!$B$49*Sales[[#This Row],[LnAcres]]</f>
        <v>-28517.585766758784</v>
      </c>
      <c r="BX34" s="14">
        <f>VLOOKUP(Sales[[#This Row],[Qlty]],Lookups!$A$54:$E$67,2,FALSE)</f>
        <v>141724.10243</v>
      </c>
      <c r="BY34" s="14">
        <f>VLOOKUP(Sales[[#This Row],[Cnd]],Lookups!$A$68:$E$76,2,FALSE)</f>
        <v>133581.64413</v>
      </c>
      <c r="BZ34" s="14">
        <f>Sales[[#This Row],[Age]]*Lookups!$B$77</f>
        <v>2767.6864500000001</v>
      </c>
      <c r="CA34" s="14">
        <f>Sales[[#This Row],[MainFn]]*Lookups!$B$78</f>
        <v>188252.42577500001</v>
      </c>
      <c r="CB34" s="14">
        <f>Sales[[#This Row],[UpprFn]]*Lookups!$B$79</f>
        <v>0</v>
      </c>
      <c r="CC34" s="14">
        <f>Sales[[#This Row],[AddFn]]*Lookups!$B$80</f>
        <v>0</v>
      </c>
      <c r="CD34" s="14">
        <f>Sales[[#This Row],[Bsmt]]*Lookups!$B$81</f>
        <v>0</v>
      </c>
      <c r="CE34" s="14">
        <f>Sales[[#This Row],[Fixtures]]*Lookups!$B$84</f>
        <v>132016.30000000002</v>
      </c>
      <c r="CF34" s="14">
        <f>Sales[[#This Row],[MsnryFP]]*Lookups!$B$82</f>
        <v>0</v>
      </c>
      <c r="CG34" s="14">
        <f>Sales[[#This Row],[PrefabFP]]*Lookups!$B$83</f>
        <v>42091.021999999997</v>
      </c>
      <c r="CH34" s="14">
        <f>Sales[[#This Row],[GarageArea]]*Lookups!$B$85</f>
        <v>41860.438521999997</v>
      </c>
      <c r="CI34" s="14">
        <f>SUM(Sales[[#This Row],[Days Prior Total]:[Mdl GarageArea]])</f>
        <v>774037.12683024118</v>
      </c>
      <c r="CJ34" s="14">
        <f>ROUND(Sales[[#This Row],[25Det]],-2)</f>
        <v>0</v>
      </c>
      <c r="CK34" s="14">
        <f>ROUND(SUM(Sales[[#This Row],[Mdl Qlty]:[Mdl GarageArea]])+Sales[[#This Row],[Mdl Res Intercept]]+Sales[[#This Row],[Days Prior Total]],-2)</f>
        <v>715300</v>
      </c>
      <c r="CL34" s="14">
        <f>ROUND(Sales[[#This Row],[Mdl Land Intercept]]+Sales[[#This Row],[Mdl LnAcres]],-2)</f>
        <v>58700</v>
      </c>
      <c r="CM34" s="14">
        <f>Sales[[#This Row],[Unadj Res Value]]+Sales[[#This Row],[Unadj Det Value]]+Sales[[#This Row],[Unadj Land Value]]</f>
        <v>774000</v>
      </c>
      <c r="CN34" s="15">
        <f>Sales[[#This Row],[Unadj Total Value]]/Sales[[#This Row],[Price]]</f>
        <v>1.1907692307692308</v>
      </c>
      <c r="CO34" s="15">
        <f>(Sales[[#This Row],[Unadj Total Value]]-Sales[[#This Row],[24Final]])/Sales[[#This Row],[24Final]]</f>
        <v>0.28828229027962715</v>
      </c>
      <c r="CP34">
        <f>VLOOKUP(Sales[[#This Row],[TNbhd]],Lookups!$M$2:$P$4,4,FALSE)</f>
        <v>0.97570000000000001</v>
      </c>
      <c r="CQ34">
        <f>VLOOKUP(Sales[[#This Row],[Qlty]],Lookups!$M$6:$P$20,4,FALSE)</f>
        <v>1.0051000000000001</v>
      </c>
      <c r="CR34">
        <f>VLOOKUP(Sales[[#This Row],[Cnd]],Lookups!$R$6:$U$15,4,FALSE)</f>
        <v>0.98370000000000002</v>
      </c>
      <c r="CS34">
        <f>VLOOKUP(Sales[[#This Row],[LivArea Range]],Lookups!$R$23:$U$39,4,FALSE)</f>
        <v>0.93310000000000004</v>
      </c>
      <c r="CT34">
        <f>VLOOKUP(Sales[[#This Row],[Decade]],Lookups!$M$23:$P$35,4,FALSE)</f>
        <v>0.97499999999999998</v>
      </c>
      <c r="CU34">
        <f>Sales[[#This Row],[Nbhd Adj]]*0.95</f>
        <v>0.92691499999999993</v>
      </c>
      <c r="CV34">
        <f>Sales[[#This Row],[Nbhd Adj]]*Sales[[#This Row],[Quality Adj]]*Sales[[#This Row],[Condition Adj]]*Sales[[#This Row],[Living Area Adj]]*Sales[[#This Row],[Decade Adj]]*0.95</f>
        <v>0.83376691892281152</v>
      </c>
      <c r="CW34">
        <f>ROUND(SUM(Sales[[#This Row],[Mdl Qlty]:[Mdl GarageArea]])+Sales[[#This Row],[Mdl Res Intercept]]*Sales[[#This Row],[Res Adj ]],-2)</f>
        <v>755000</v>
      </c>
      <c r="CX34">
        <f>ROUND(Sales[[#This Row],[25Det]]*Sales[[#This Row],[Det/Nbhd Adj]],-2)</f>
        <v>0</v>
      </c>
      <c r="CY34">
        <f>Sales[[#This Row],[Adjusted Res]]+Sales[[#This Row],[Adj Det ]]</f>
        <v>755000</v>
      </c>
      <c r="CZ34">
        <f>ROUND((Sales[[#This Row],[Mdl Land Intercept]]+Sales[[#This Row],[Mdl LnAcres]])*Sales[[#This Row],[Det/Nbhd Adj]],-2)</f>
        <v>54400</v>
      </c>
      <c r="DA34">
        <f>Sales[[#This Row],[Adjusted Impr Total]]+Sales[[#This Row],[Adjusted Land Total]]</f>
        <v>809400</v>
      </c>
      <c r="DB34">
        <f>IFERROR((Sales[[#This Row],[Adjusted Impr Total]]-Sales[[#This Row],[24Bldg]])/Sales[[#This Row],[24Bldg]],0)</f>
        <v>0.49504950495049505</v>
      </c>
      <c r="DC34">
        <f>(Sales[[#This Row],[Adjusted Land Total]]-Sales[[#This Row],[24Lnd]])/Sales[[#This Row],[24Lnd]]</f>
        <v>-0.43215031315240082</v>
      </c>
      <c r="DD34">
        <f>(Sales[[#This Row],[Adjusted Total]]-Sales[[#This Row],[24Final]])/Sales[[#This Row],[24Final]]</f>
        <v>0.34720372836218377</v>
      </c>
      <c r="DE34">
        <f>(Sales[[#This Row],[Adjusted Total]]+Sales[[#This Row],[Days Prior Total]])/Sales[[#This Row],[Price]]</f>
        <v>1.1618945281384614</v>
      </c>
    </row>
    <row r="35" spans="1:109" x14ac:dyDescent="0.3">
      <c r="A35">
        <v>2025</v>
      </c>
      <c r="B35">
        <v>18131842408</v>
      </c>
      <c r="C35">
        <v>1.0612565021243408</v>
      </c>
      <c r="D35">
        <v>2.89</v>
      </c>
      <c r="E35">
        <v>0</v>
      </c>
      <c r="F35">
        <v>1</v>
      </c>
      <c r="G35" t="s">
        <v>89</v>
      </c>
      <c r="H35" t="s">
        <v>203</v>
      </c>
      <c r="I35" t="s">
        <v>302</v>
      </c>
      <c r="J35" t="s">
        <v>26</v>
      </c>
      <c r="K35">
        <v>11</v>
      </c>
      <c r="L35">
        <v>331</v>
      </c>
      <c r="M35" t="s">
        <v>204</v>
      </c>
      <c r="N35" t="s">
        <v>274</v>
      </c>
      <c r="O35" t="s">
        <v>76</v>
      </c>
      <c r="P35">
        <v>2008</v>
      </c>
      <c r="Q35">
        <v>2008</v>
      </c>
      <c r="R35">
        <v>20</v>
      </c>
      <c r="S35">
        <v>16</v>
      </c>
      <c r="T35">
        <v>16</v>
      </c>
      <c r="U35">
        <v>2</v>
      </c>
      <c r="V35">
        <v>1163</v>
      </c>
      <c r="W35">
        <v>1036</v>
      </c>
      <c r="X35">
        <v>0</v>
      </c>
      <c r="Y35">
        <v>1141</v>
      </c>
      <c r="Z35">
        <v>1141</v>
      </c>
      <c r="AA35">
        <v>0</v>
      </c>
      <c r="AB35">
        <v>3340</v>
      </c>
      <c r="AC35">
        <v>3500</v>
      </c>
      <c r="AD35">
        <v>3</v>
      </c>
      <c r="AE35" t="s">
        <v>132</v>
      </c>
      <c r="AF35" t="s">
        <v>153</v>
      </c>
      <c r="AG35" t="s">
        <v>274</v>
      </c>
      <c r="AI35">
        <v>0</v>
      </c>
      <c r="AJ35">
        <v>0</v>
      </c>
      <c r="AK35">
        <v>2</v>
      </c>
      <c r="AL35">
        <v>2</v>
      </c>
      <c r="AM35">
        <v>2</v>
      </c>
      <c r="AN35">
        <v>18</v>
      </c>
      <c r="AO35">
        <v>1008</v>
      </c>
      <c r="AP35">
        <v>0</v>
      </c>
      <c r="AQ35">
        <v>1008</v>
      </c>
      <c r="AR35">
        <v>0</v>
      </c>
      <c r="AS35">
        <v>779</v>
      </c>
      <c r="AT35">
        <v>0</v>
      </c>
      <c r="AU35">
        <v>0</v>
      </c>
      <c r="AV35">
        <v>100</v>
      </c>
      <c r="AW35">
        <v>100</v>
      </c>
      <c r="AX35">
        <v>919319</v>
      </c>
      <c r="AY35">
        <v>891739</v>
      </c>
      <c r="AZ35">
        <v>424</v>
      </c>
      <c r="BA35">
        <v>365</v>
      </c>
      <c r="BB35">
        <v>59</v>
      </c>
      <c r="BC35">
        <v>0</v>
      </c>
      <c r="BD35" s="6">
        <v>44868</v>
      </c>
      <c r="BE35" t="s">
        <v>143</v>
      </c>
      <c r="BF35">
        <v>950000</v>
      </c>
      <c r="BG35">
        <v>950000</v>
      </c>
      <c r="BH35" t="s">
        <v>198</v>
      </c>
      <c r="BI35">
        <v>30</v>
      </c>
      <c r="BJ35" t="s">
        <v>51</v>
      </c>
      <c r="BK35" t="s">
        <v>314</v>
      </c>
      <c r="BL35">
        <v>799300</v>
      </c>
      <c r="BM35">
        <v>220800</v>
      </c>
      <c r="BN35">
        <v>578500</v>
      </c>
      <c r="BO35">
        <v>0</v>
      </c>
      <c r="BP35">
        <v>0.84136842105263154</v>
      </c>
      <c r="BQ35">
        <v>1023180.3384066868</v>
      </c>
      <c r="BR35">
        <v>1075295.9265963568</v>
      </c>
      <c r="BS35" s="7">
        <f>(BR35-BL35)/BL35</f>
        <v>0.34529704315820942</v>
      </c>
      <c r="BT35" s="14">
        <f>(Sales[[#This Row],[DP1]]*Lookups!$B$51)+(Sales[[#This Row],[DP2]]*Lookups!$B$52)+(Sales[[#This Row],[DP3]]*Lookups!$B$53)</f>
        <v>-52115.601786000007</v>
      </c>
      <c r="BU35" s="14">
        <f>Lookups!$B$48*0.5</f>
        <v>87214.824999999997</v>
      </c>
      <c r="BV35" s="14">
        <f>Lookups!$B$48*0.5</f>
        <v>87214.824999999997</v>
      </c>
      <c r="BW35" s="14">
        <f>Lookups!$B$49*Sales[[#This Row],[LnAcres]]</f>
        <v>26560.964301666674</v>
      </c>
      <c r="BX35" s="14">
        <f>VLOOKUP(Sales[[#This Row],[Qlty]],Lookups!$A$54:$E$67,2,FALSE)</f>
        <v>243340.36395999999</v>
      </c>
      <c r="BY35" s="14">
        <f>VLOOKUP(Sales[[#This Row],[Cnd]],Lookups!$A$68:$E$76,2,FALSE)</f>
        <v>133581.64413</v>
      </c>
      <c r="BZ35" s="14">
        <f>Sales[[#This Row],[Age]]*Lookups!$B$77</f>
        <v>2952.1988799999999</v>
      </c>
      <c r="CA35" s="14">
        <f>Sales[[#This Row],[MainFn]]*Lookups!$B$78</f>
        <v>80344.062817000013</v>
      </c>
      <c r="CB35" s="14">
        <f>Sales[[#This Row],[UpprFn]]*Lookups!$B$79</f>
        <v>63386.8053</v>
      </c>
      <c r="CC35" s="14">
        <f>Sales[[#This Row],[AddFn]]*Lookups!$B$80</f>
        <v>0</v>
      </c>
      <c r="CD35" s="14">
        <f>Sales[[#This Row],[Bsmt]]*Lookups!$B$81</f>
        <v>32642.478777999997</v>
      </c>
      <c r="CE35" s="14">
        <f>Sales[[#This Row],[Fixtures]]*Lookups!$B$84</f>
        <v>182791.80000000002</v>
      </c>
      <c r="CF35" s="14">
        <f>Sales[[#This Row],[MsnryFP]]*Lookups!$B$82</f>
        <v>0</v>
      </c>
      <c r="CG35" s="14">
        <f>Sales[[#This Row],[PrefabFP]]*Lookups!$B$83</f>
        <v>84182.043999999994</v>
      </c>
      <c r="CH35" s="14">
        <f>Sales[[#This Row],[GarageArea]]*Lookups!$B$85</f>
        <v>51083.924976000002</v>
      </c>
      <c r="CI35" s="14">
        <f>SUM(Sales[[#This Row],[Days Prior Total]:[Mdl GarageArea]])</f>
        <v>1023180.3353566667</v>
      </c>
      <c r="CJ35" s="14">
        <f>ROUND(Sales[[#This Row],[25Det]],-2)</f>
        <v>0</v>
      </c>
      <c r="CK35" s="14">
        <f>ROUND(SUM(Sales[[#This Row],[Mdl Qlty]:[Mdl GarageArea]])+Sales[[#This Row],[Mdl Res Intercept]]+Sales[[#This Row],[Days Prior Total]],-2)</f>
        <v>909400</v>
      </c>
      <c r="CL35" s="14">
        <f>ROUND(Sales[[#This Row],[Mdl Land Intercept]]+Sales[[#This Row],[Mdl LnAcres]],-2)</f>
        <v>113800</v>
      </c>
      <c r="CM35" s="14">
        <f>Sales[[#This Row],[Unadj Res Value]]+Sales[[#This Row],[Unadj Det Value]]+Sales[[#This Row],[Unadj Land Value]]</f>
        <v>1023200</v>
      </c>
      <c r="CN35" s="15">
        <f>Sales[[#This Row],[Unadj Total Value]]/Sales[[#This Row],[Price]]</f>
        <v>1.0770526315789473</v>
      </c>
      <c r="CO35" s="15">
        <f>(Sales[[#This Row],[Unadj Total Value]]-Sales[[#This Row],[24Final]])/Sales[[#This Row],[24Final]]</f>
        <v>0.28012010509195545</v>
      </c>
      <c r="CP35">
        <f>VLOOKUP(Sales[[#This Row],[TNbhd]],Lookups!$M$2:$P$4,4,FALSE)</f>
        <v>0.97570000000000001</v>
      </c>
      <c r="CQ35">
        <f>VLOOKUP(Sales[[#This Row],[Qlty]],Lookups!$M$6:$P$20,4,FALSE)</f>
        <v>0.99519999999999997</v>
      </c>
      <c r="CR35">
        <f>VLOOKUP(Sales[[#This Row],[Cnd]],Lookups!$R$6:$U$15,4,FALSE)</f>
        <v>0.98370000000000002</v>
      </c>
      <c r="CS35">
        <f>VLOOKUP(Sales[[#This Row],[LivArea Range]],Lookups!$R$23:$U$39,4,FALSE)</f>
        <v>0.99619999999999997</v>
      </c>
      <c r="CT35">
        <f>VLOOKUP(Sales[[#This Row],[Decade]],Lookups!$M$23:$P$35,4,FALSE)</f>
        <v>0.97499999999999998</v>
      </c>
      <c r="CU35">
        <f>Sales[[#This Row],[Nbhd Adj]]*0.95</f>
        <v>0.92691499999999993</v>
      </c>
      <c r="CV35">
        <f>Sales[[#This Row],[Nbhd Adj]]*Sales[[#This Row],[Quality Adj]]*Sales[[#This Row],[Condition Adj]]*Sales[[#This Row],[Living Area Adj]]*Sales[[#This Row],[Decade Adj]]*0.95</f>
        <v>0.88138184822156385</v>
      </c>
      <c r="CW35">
        <f>ROUND(SUM(Sales[[#This Row],[Mdl Qlty]:[Mdl GarageArea]])+Sales[[#This Row],[Mdl Res Intercept]]*Sales[[#This Row],[Res Adj ]],-2)</f>
        <v>951200</v>
      </c>
      <c r="CX35">
        <f>ROUND(Sales[[#This Row],[25Det]]*Sales[[#This Row],[Det/Nbhd Adj]],-2)</f>
        <v>0</v>
      </c>
      <c r="CY35">
        <f>Sales[[#This Row],[Adjusted Res]]+Sales[[#This Row],[Adj Det ]]</f>
        <v>951200</v>
      </c>
      <c r="CZ35">
        <f>ROUND((Sales[[#This Row],[Mdl Land Intercept]]+Sales[[#This Row],[Mdl LnAcres]])*Sales[[#This Row],[Det/Nbhd Adj]],-2)</f>
        <v>105500</v>
      </c>
      <c r="DA35">
        <f>Sales[[#This Row],[Adjusted Impr Total]]+Sales[[#This Row],[Adjusted Land Total]]</f>
        <v>1056700</v>
      </c>
      <c r="DB35">
        <f>IFERROR((Sales[[#This Row],[Adjusted Impr Total]]-Sales[[#This Row],[24Bldg]])/Sales[[#This Row],[24Bldg]],0)</f>
        <v>0.64425237683664649</v>
      </c>
      <c r="DC35">
        <f>(Sales[[#This Row],[Adjusted Land Total]]-Sales[[#This Row],[24Lnd]])/Sales[[#This Row],[24Lnd]]</f>
        <v>-0.52219202898550721</v>
      </c>
      <c r="DD35">
        <f>(Sales[[#This Row],[Adjusted Total]]-Sales[[#This Row],[24Final]])/Sales[[#This Row],[24Final]]</f>
        <v>0.3220317778055799</v>
      </c>
      <c r="DE35">
        <f>(Sales[[#This Row],[Adjusted Total]]+Sales[[#This Row],[Days Prior Total]])/Sales[[#This Row],[Price]]</f>
        <v>1.0574572612778947</v>
      </c>
    </row>
    <row r="36" spans="1:109" x14ac:dyDescent="0.3">
      <c r="A36">
        <v>2025</v>
      </c>
      <c r="B36">
        <v>18131734436</v>
      </c>
      <c r="C36">
        <v>-0.61618613942381695</v>
      </c>
      <c r="D36">
        <v>0.54</v>
      </c>
      <c r="E36">
        <v>23417</v>
      </c>
      <c r="F36">
        <v>1</v>
      </c>
      <c r="G36" t="s">
        <v>89</v>
      </c>
      <c r="H36" t="s">
        <v>203</v>
      </c>
      <c r="I36" t="s">
        <v>302</v>
      </c>
      <c r="J36" t="s">
        <v>110</v>
      </c>
      <c r="K36">
        <v>11</v>
      </c>
      <c r="L36">
        <v>259</v>
      </c>
      <c r="M36" t="s">
        <v>313</v>
      </c>
      <c r="N36" t="s">
        <v>206</v>
      </c>
      <c r="O36" t="s">
        <v>76</v>
      </c>
      <c r="P36">
        <v>2008</v>
      </c>
      <c r="Q36">
        <v>2008</v>
      </c>
      <c r="R36">
        <v>20</v>
      </c>
      <c r="S36">
        <v>16</v>
      </c>
      <c r="T36">
        <v>16</v>
      </c>
      <c r="U36">
        <v>2</v>
      </c>
      <c r="V36">
        <v>4637</v>
      </c>
      <c r="W36">
        <v>928</v>
      </c>
      <c r="X36">
        <v>0</v>
      </c>
      <c r="Y36">
        <v>0</v>
      </c>
      <c r="Z36">
        <v>0</v>
      </c>
      <c r="AA36">
        <v>0</v>
      </c>
      <c r="AB36">
        <v>5565</v>
      </c>
      <c r="AC36">
        <v>6000</v>
      </c>
      <c r="AD36">
        <v>3</v>
      </c>
      <c r="AF36" t="s">
        <v>275</v>
      </c>
      <c r="AG36" t="s">
        <v>111</v>
      </c>
      <c r="AH36" t="s">
        <v>314</v>
      </c>
      <c r="AI36">
        <v>0</v>
      </c>
      <c r="AJ36">
        <v>0</v>
      </c>
      <c r="AK36">
        <v>1</v>
      </c>
      <c r="AL36">
        <v>2</v>
      </c>
      <c r="AM36">
        <v>0</v>
      </c>
      <c r="AN36">
        <v>17</v>
      </c>
      <c r="AO36">
        <v>2125</v>
      </c>
      <c r="AP36">
        <v>0</v>
      </c>
      <c r="AQ36">
        <v>2125</v>
      </c>
      <c r="AR36">
        <v>0</v>
      </c>
      <c r="AS36">
        <v>0</v>
      </c>
      <c r="AT36">
        <v>0</v>
      </c>
      <c r="AU36">
        <v>0</v>
      </c>
      <c r="AV36">
        <v>100</v>
      </c>
      <c r="AW36">
        <v>100</v>
      </c>
      <c r="AX36">
        <v>1864226</v>
      </c>
      <c r="AY36">
        <v>1808299</v>
      </c>
      <c r="AZ36">
        <v>620</v>
      </c>
      <c r="BA36">
        <v>365</v>
      </c>
      <c r="BB36">
        <v>255</v>
      </c>
      <c r="BC36">
        <v>0</v>
      </c>
      <c r="BD36" s="6">
        <v>44672</v>
      </c>
      <c r="BE36" t="s">
        <v>14</v>
      </c>
      <c r="BF36">
        <v>1465000</v>
      </c>
      <c r="BG36">
        <v>1403952</v>
      </c>
      <c r="BH36" t="s">
        <v>198</v>
      </c>
      <c r="BI36">
        <v>30</v>
      </c>
      <c r="BJ36" t="s">
        <v>51</v>
      </c>
      <c r="BK36" t="s">
        <v>314</v>
      </c>
      <c r="BL36">
        <v>1360500</v>
      </c>
      <c r="BM36">
        <v>125000</v>
      </c>
      <c r="BN36">
        <v>1235500</v>
      </c>
      <c r="BO36">
        <v>61048</v>
      </c>
      <c r="BP36">
        <v>0.92866894197952221</v>
      </c>
      <c r="BQ36">
        <v>1332448.709077734</v>
      </c>
      <c r="BR36">
        <v>1365915.9662847244</v>
      </c>
      <c r="BS36" s="7">
        <f>(BR36-BL36)/BL36</f>
        <v>3.9808645973718618E-3</v>
      </c>
      <c r="BT36" s="14">
        <f>(Sales[[#This Row],[DP1]]*Lookups!$B$51)+(Sales[[#This Row],[DP2]]*Lookups!$B$52)+(Sales[[#This Row],[DP3]]*Lookups!$B$53)</f>
        <v>-33467.270770000003</v>
      </c>
      <c r="BU36" s="14">
        <f>Lookups!$B$48*0.5</f>
        <v>87214.824999999997</v>
      </c>
      <c r="BV36" s="14">
        <f>Lookups!$B$48*0.5</f>
        <v>87214.824999999997</v>
      </c>
      <c r="BW36" s="14">
        <f>Lookups!$B$49*Sales[[#This Row],[LnAcres]]</f>
        <v>-15421.81180483382</v>
      </c>
      <c r="BX36" s="14">
        <f>VLOOKUP(Sales[[#This Row],[Qlty]],Lookups!$A$54:$E$67,2,FALSE)</f>
        <v>370835.85488</v>
      </c>
      <c r="BY36" s="14">
        <f>VLOOKUP(Sales[[#This Row],[Cnd]],Lookups!$A$68:$E$76,2,FALSE)</f>
        <v>133581.64413</v>
      </c>
      <c r="BZ36" s="14">
        <f>Sales[[#This Row],[Age]]*Lookups!$B$77</f>
        <v>2952.1988799999999</v>
      </c>
      <c r="CA36" s="14">
        <f>Sales[[#This Row],[MainFn]]*Lookups!$B$78</f>
        <v>320339.99938300002</v>
      </c>
      <c r="CB36" s="14">
        <f>Sales[[#This Row],[UpprFn]]*Lookups!$B$79</f>
        <v>56778.914400000001</v>
      </c>
      <c r="CC36" s="14">
        <f>Sales[[#This Row],[AddFn]]*Lookups!$B$80</f>
        <v>0</v>
      </c>
      <c r="CD36" s="14">
        <f>Sales[[#This Row],[Bsmt]]*Lookups!$B$81</f>
        <v>0</v>
      </c>
      <c r="CE36" s="14">
        <f>Sales[[#This Row],[Fixtures]]*Lookups!$B$84</f>
        <v>172636.7</v>
      </c>
      <c r="CF36" s="14">
        <f>Sales[[#This Row],[MsnryFP]]*Lookups!$B$82</f>
        <v>0</v>
      </c>
      <c r="CG36" s="14">
        <f>Sales[[#This Row],[PrefabFP]]*Lookups!$B$83</f>
        <v>42091.021999999997</v>
      </c>
      <c r="CH36" s="14">
        <f>Sales[[#This Row],[GarageArea]]*Lookups!$B$85</f>
        <v>107691.806125</v>
      </c>
      <c r="CI36" s="14">
        <f>SUM(Sales[[#This Row],[Days Prior Total]:[Mdl GarageArea]])</f>
        <v>1332448.7072231662</v>
      </c>
      <c r="CJ36" s="14">
        <f>ROUND(Sales[[#This Row],[25Det]],-2)</f>
        <v>61000</v>
      </c>
      <c r="CK36" s="14">
        <f>ROUND(SUM(Sales[[#This Row],[Mdl Qlty]:[Mdl GarageArea]])+Sales[[#This Row],[Mdl Res Intercept]]+Sales[[#This Row],[Days Prior Total]],-2)</f>
        <v>1260700</v>
      </c>
      <c r="CL36" s="14">
        <f>ROUND(Sales[[#This Row],[Mdl Land Intercept]]+Sales[[#This Row],[Mdl LnAcres]],-2)</f>
        <v>71800</v>
      </c>
      <c r="CM36" s="14">
        <f>Sales[[#This Row],[Unadj Res Value]]+Sales[[#This Row],[Unadj Det Value]]+Sales[[#This Row],[Unadj Land Value]]</f>
        <v>1393500</v>
      </c>
      <c r="CN36" s="15">
        <f>Sales[[#This Row],[Unadj Total Value]]/Sales[[#This Row],[Price]]</f>
        <v>0.95119453924914676</v>
      </c>
      <c r="CO36" s="15">
        <f>(Sales[[#This Row],[Unadj Total Value]]-Sales[[#This Row],[24Final]])/Sales[[#This Row],[24Final]]</f>
        <v>2.4255788313120176E-2</v>
      </c>
      <c r="CP36">
        <f>VLOOKUP(Sales[[#This Row],[TNbhd]],Lookups!$M$2:$P$4,4,FALSE)</f>
        <v>0.97570000000000001</v>
      </c>
      <c r="CQ36">
        <f>VLOOKUP(Sales[[#This Row],[Qlty]],Lookups!$M$6:$P$20,4,FALSE)</f>
        <v>0.99470000000000003</v>
      </c>
      <c r="CR36">
        <f>VLOOKUP(Sales[[#This Row],[Cnd]],Lookups!$R$6:$U$15,4,FALSE)</f>
        <v>0.98370000000000002</v>
      </c>
      <c r="CS36">
        <f>VLOOKUP(Sales[[#This Row],[LivArea Range]],Lookups!$R$23:$U$39,4,FALSE)</f>
        <v>1.0512999999999999</v>
      </c>
      <c r="CT36">
        <f>VLOOKUP(Sales[[#This Row],[Decade]],Lookups!$M$23:$P$35,4,FALSE)</f>
        <v>0.97499999999999998</v>
      </c>
      <c r="CU36">
        <f>Sales[[#This Row],[Nbhd Adj]]*0.95</f>
        <v>0.92691499999999993</v>
      </c>
      <c r="CV36">
        <f>Sales[[#This Row],[Nbhd Adj]]*Sales[[#This Row],[Quality Adj]]*Sales[[#This Row],[Condition Adj]]*Sales[[#This Row],[Living Area Adj]]*Sales[[#This Row],[Decade Adj]]*0.95</f>
        <v>0.92966392703148448</v>
      </c>
      <c r="CW36">
        <f>ROUND(SUM(Sales[[#This Row],[Mdl Qlty]:[Mdl GarageArea]])+Sales[[#This Row],[Mdl Res Intercept]]*Sales[[#This Row],[Res Adj ]],-2)</f>
        <v>1288000</v>
      </c>
      <c r="CX36">
        <f>ROUND(Sales[[#This Row],[25Det]]*Sales[[#This Row],[Det/Nbhd Adj]],-2)</f>
        <v>56600</v>
      </c>
      <c r="CY36">
        <f>Sales[[#This Row],[Adjusted Res]]+Sales[[#This Row],[Adj Det ]]</f>
        <v>1344600</v>
      </c>
      <c r="CZ36">
        <f>ROUND((Sales[[#This Row],[Mdl Land Intercept]]+Sales[[#This Row],[Mdl LnAcres]])*Sales[[#This Row],[Det/Nbhd Adj]],-2)</f>
        <v>66500</v>
      </c>
      <c r="DA36">
        <f>Sales[[#This Row],[Adjusted Impr Total]]+Sales[[#This Row],[Adjusted Land Total]]</f>
        <v>1411100</v>
      </c>
      <c r="DB36">
        <f>IFERROR((Sales[[#This Row],[Adjusted Impr Total]]-Sales[[#This Row],[24Bldg]])/Sales[[#This Row],[24Bldg]],0)</f>
        <v>8.830433023067584E-2</v>
      </c>
      <c r="DC36">
        <f>(Sales[[#This Row],[Adjusted Land Total]]-Sales[[#This Row],[24Lnd]])/Sales[[#This Row],[24Lnd]]</f>
        <v>-0.46800000000000003</v>
      </c>
      <c r="DD36">
        <f>(Sales[[#This Row],[Adjusted Total]]-Sales[[#This Row],[24Final]])/Sales[[#This Row],[24Final]]</f>
        <v>3.7192208746784271E-2</v>
      </c>
      <c r="DE36">
        <f>(Sales[[#This Row],[Adjusted Total]]+Sales[[#This Row],[Days Prior Total]])/Sales[[#This Row],[Price]]</f>
        <v>0.94036363769965869</v>
      </c>
    </row>
    <row r="37" spans="1:109" x14ac:dyDescent="0.3">
      <c r="A37">
        <v>2025</v>
      </c>
      <c r="B37">
        <v>18131634445</v>
      </c>
      <c r="C37">
        <v>-1.1394342831883648</v>
      </c>
      <c r="D37">
        <v>0.32</v>
      </c>
      <c r="E37">
        <v>13737</v>
      </c>
      <c r="F37">
        <v>5</v>
      </c>
      <c r="G37" t="s">
        <v>89</v>
      </c>
      <c r="H37">
        <v>3041</v>
      </c>
      <c r="I37" t="s">
        <v>302</v>
      </c>
      <c r="J37" t="s">
        <v>26</v>
      </c>
      <c r="K37">
        <v>11</v>
      </c>
      <c r="L37">
        <v>259</v>
      </c>
      <c r="M37" t="s">
        <v>204</v>
      </c>
      <c r="N37" t="s">
        <v>111</v>
      </c>
      <c r="O37" t="s">
        <v>258</v>
      </c>
      <c r="P37">
        <v>2008</v>
      </c>
      <c r="Q37">
        <v>2008</v>
      </c>
      <c r="R37">
        <v>20</v>
      </c>
      <c r="S37">
        <v>16</v>
      </c>
      <c r="T37">
        <v>16</v>
      </c>
      <c r="U37">
        <v>1</v>
      </c>
      <c r="V37">
        <v>1698</v>
      </c>
      <c r="W37">
        <v>0</v>
      </c>
      <c r="X37">
        <v>0</v>
      </c>
      <c r="Y37">
        <v>0</v>
      </c>
      <c r="Z37">
        <v>0</v>
      </c>
      <c r="AA37">
        <v>0</v>
      </c>
      <c r="AB37">
        <v>1698</v>
      </c>
      <c r="AC37">
        <v>2000</v>
      </c>
      <c r="AD37">
        <v>2</v>
      </c>
      <c r="AE37" t="s">
        <v>132</v>
      </c>
      <c r="AF37" t="s">
        <v>275</v>
      </c>
      <c r="AG37" t="s">
        <v>274</v>
      </c>
      <c r="AH37" t="s">
        <v>314</v>
      </c>
      <c r="AI37">
        <v>0</v>
      </c>
      <c r="AJ37">
        <v>0</v>
      </c>
      <c r="AK37">
        <v>1</v>
      </c>
      <c r="AL37">
        <v>0</v>
      </c>
      <c r="AM37">
        <v>0</v>
      </c>
      <c r="AN37">
        <v>11</v>
      </c>
      <c r="AO37">
        <v>576</v>
      </c>
      <c r="AP37">
        <v>0</v>
      </c>
      <c r="AQ37">
        <v>576</v>
      </c>
      <c r="AR37">
        <v>0</v>
      </c>
      <c r="AS37">
        <v>0</v>
      </c>
      <c r="AT37">
        <v>238</v>
      </c>
      <c r="AU37">
        <v>0</v>
      </c>
      <c r="AV37">
        <v>100</v>
      </c>
      <c r="AW37">
        <v>100</v>
      </c>
      <c r="AX37">
        <v>344863</v>
      </c>
      <c r="AY37">
        <v>331068</v>
      </c>
      <c r="AZ37">
        <v>746</v>
      </c>
      <c r="BA37">
        <v>365</v>
      </c>
      <c r="BB37">
        <v>365</v>
      </c>
      <c r="BC37">
        <v>16</v>
      </c>
      <c r="BD37" s="6">
        <v>44546</v>
      </c>
      <c r="BE37" t="s">
        <v>328</v>
      </c>
      <c r="BF37">
        <v>515000</v>
      </c>
      <c r="BG37">
        <v>515000</v>
      </c>
      <c r="BH37" t="s">
        <v>198</v>
      </c>
      <c r="BI37">
        <v>30</v>
      </c>
      <c r="BJ37" t="s">
        <v>51</v>
      </c>
      <c r="BK37" t="s">
        <v>314</v>
      </c>
      <c r="BL37">
        <v>481400</v>
      </c>
      <c r="BM37">
        <v>95800</v>
      </c>
      <c r="BN37">
        <v>385600</v>
      </c>
      <c r="BO37">
        <v>0</v>
      </c>
      <c r="BP37">
        <v>0.9347572815533981</v>
      </c>
      <c r="BQ37">
        <v>513444.86464966461</v>
      </c>
      <c r="BR37">
        <v>541383.59858691797</v>
      </c>
      <c r="BS37" s="7">
        <f>(BR37-BL37)/BL37</f>
        <v>0.12460240670319479</v>
      </c>
      <c r="BT37" s="14">
        <f>(Sales[[#This Row],[DP1]]*Lookups!$B$51)+(Sales[[#This Row],[DP2]]*Lookups!$B$52)+(Sales[[#This Row],[DP3]]*Lookups!$B$53)</f>
        <v>-27938.746710000003</v>
      </c>
      <c r="BU37" s="14">
        <f>Lookups!$B$48*0.5</f>
        <v>87214.824999999997</v>
      </c>
      <c r="BV37" s="14">
        <f>Lookups!$B$48*0.5</f>
        <v>87214.824999999997</v>
      </c>
      <c r="BW37" s="14">
        <f>Lookups!$B$49*Sales[[#This Row],[LnAcres]]</f>
        <v>-28517.585766758784</v>
      </c>
      <c r="BX37" s="14">
        <f>VLOOKUP(Sales[[#This Row],[Qlty]],Lookups!$A$54:$E$67,2,FALSE)</f>
        <v>-14329.694740000001</v>
      </c>
      <c r="BY37" s="14">
        <f>VLOOKUP(Sales[[#This Row],[Cnd]],Lookups!$A$68:$E$76,2,FALSE)</f>
        <v>106557.38887</v>
      </c>
      <c r="BZ37" s="14">
        <f>Sales[[#This Row],[Age]]*Lookups!$B$77</f>
        <v>2952.1988799999999</v>
      </c>
      <c r="CA37" s="14">
        <f>Sales[[#This Row],[MainFn]]*Lookups!$B$78</f>
        <v>117303.713382</v>
      </c>
      <c r="CB37" s="14">
        <f>Sales[[#This Row],[UpprFn]]*Lookups!$B$79</f>
        <v>0</v>
      </c>
      <c r="CC37" s="14">
        <f>Sales[[#This Row],[AddFn]]*Lookups!$B$80</f>
        <v>0</v>
      </c>
      <c r="CD37" s="14">
        <f>Sales[[#This Row],[Bsmt]]*Lookups!$B$81</f>
        <v>0</v>
      </c>
      <c r="CE37" s="14">
        <f>Sales[[#This Row],[Fixtures]]*Lookups!$B$84</f>
        <v>111706.1</v>
      </c>
      <c r="CF37" s="14">
        <f>Sales[[#This Row],[MsnryFP]]*Lookups!$B$82</f>
        <v>0</v>
      </c>
      <c r="CG37" s="14">
        <f>Sales[[#This Row],[PrefabFP]]*Lookups!$B$83</f>
        <v>42091.021999999997</v>
      </c>
      <c r="CH37" s="14">
        <f>Sales[[#This Row],[GarageArea]]*Lookups!$B$85</f>
        <v>29190.814272</v>
      </c>
      <c r="CI37" s="14">
        <f>SUM(Sales[[#This Row],[Days Prior Total]:[Mdl GarageArea]])</f>
        <v>513444.86018724123</v>
      </c>
      <c r="CJ37" s="14">
        <f>ROUND(Sales[[#This Row],[25Det]],-2)</f>
        <v>0</v>
      </c>
      <c r="CK37" s="14">
        <f>ROUND(SUM(Sales[[#This Row],[Mdl Qlty]:[Mdl GarageArea]])+Sales[[#This Row],[Mdl Res Intercept]]+Sales[[#This Row],[Days Prior Total]],-2)</f>
        <v>454700</v>
      </c>
      <c r="CL37" s="14">
        <f>ROUND(Sales[[#This Row],[Mdl Land Intercept]]+Sales[[#This Row],[Mdl LnAcres]],-2)</f>
        <v>58700</v>
      </c>
      <c r="CM37" s="14">
        <f>Sales[[#This Row],[Unadj Res Value]]+Sales[[#This Row],[Unadj Det Value]]+Sales[[#This Row],[Unadj Land Value]]</f>
        <v>513400</v>
      </c>
      <c r="CN37" s="15">
        <f>Sales[[#This Row],[Unadj Total Value]]/Sales[[#This Row],[Price]]</f>
        <v>0.99689320388349512</v>
      </c>
      <c r="CO37" s="15">
        <f>(Sales[[#This Row],[Unadj Total Value]]-Sales[[#This Row],[24Final]])/Sales[[#This Row],[24Final]]</f>
        <v>6.6472787702534272E-2</v>
      </c>
      <c r="CP37">
        <f>VLOOKUP(Sales[[#This Row],[TNbhd]],Lookups!$M$2:$P$4,4,FALSE)</f>
        <v>0.97570000000000001</v>
      </c>
      <c r="CQ37">
        <f>VLOOKUP(Sales[[#This Row],[Qlty]],Lookups!$M$6:$P$20,4,FALSE)</f>
        <v>0.98809999999999998</v>
      </c>
      <c r="CR37">
        <f>VLOOKUP(Sales[[#This Row],[Cnd]],Lookups!$R$6:$U$15,4,FALSE)</f>
        <v>0.9748</v>
      </c>
      <c r="CS37">
        <f>VLOOKUP(Sales[[#This Row],[LivArea Range]],Lookups!$R$23:$U$39,4,FALSE)</f>
        <v>0.99099999999999999</v>
      </c>
      <c r="CT37">
        <f>VLOOKUP(Sales[[#This Row],[Decade]],Lookups!$M$23:$P$35,4,FALSE)</f>
        <v>0.97499999999999998</v>
      </c>
      <c r="CU37">
        <f>Sales[[#This Row],[Nbhd Adj]]*0.95</f>
        <v>0.92691499999999993</v>
      </c>
      <c r="CV37">
        <f>Sales[[#This Row],[Nbhd Adj]]*Sales[[#This Row],[Quality Adj]]*Sales[[#This Row],[Condition Adj]]*Sales[[#This Row],[Living Area Adj]]*Sales[[#This Row],[Decade Adj]]*0.95</f>
        <v>0.86264994759378633</v>
      </c>
      <c r="CW37">
        <f>ROUND(SUM(Sales[[#This Row],[Mdl Qlty]:[Mdl GarageArea]])+Sales[[#This Row],[Mdl Res Intercept]]*Sales[[#This Row],[Res Adj ]],-2)</f>
        <v>470700</v>
      </c>
      <c r="CX37">
        <f>ROUND(Sales[[#This Row],[25Det]]*Sales[[#This Row],[Det/Nbhd Adj]],-2)</f>
        <v>0</v>
      </c>
      <c r="CY37">
        <f>Sales[[#This Row],[Adjusted Res]]+Sales[[#This Row],[Adj Det ]]</f>
        <v>470700</v>
      </c>
      <c r="CZ37">
        <f>ROUND((Sales[[#This Row],[Mdl Land Intercept]]+Sales[[#This Row],[Mdl LnAcres]])*Sales[[#This Row],[Det/Nbhd Adj]],-2)</f>
        <v>54400</v>
      </c>
      <c r="DA37">
        <f>Sales[[#This Row],[Adjusted Impr Total]]+Sales[[#This Row],[Adjusted Land Total]]</f>
        <v>525100</v>
      </c>
      <c r="DB37">
        <f>IFERROR((Sales[[#This Row],[Adjusted Impr Total]]-Sales[[#This Row],[24Bldg]])/Sales[[#This Row],[24Bldg]],0)</f>
        <v>0.22069502074688796</v>
      </c>
      <c r="DC37">
        <f>(Sales[[#This Row],[Adjusted Land Total]]-Sales[[#This Row],[24Lnd]])/Sales[[#This Row],[24Lnd]]</f>
        <v>-0.43215031315240082</v>
      </c>
      <c r="DD37">
        <f>(Sales[[#This Row],[Adjusted Total]]-Sales[[#This Row],[24Final]])/Sales[[#This Row],[24Final]]</f>
        <v>9.0776900706273367E-2</v>
      </c>
      <c r="DE37">
        <f>(Sales[[#This Row],[Adjusted Total]]+Sales[[#This Row],[Days Prior Total]])/Sales[[#This Row],[Price]]</f>
        <v>0.9653616568737865</v>
      </c>
    </row>
    <row r="38" spans="1:109" x14ac:dyDescent="0.3">
      <c r="A38">
        <v>2025</v>
      </c>
      <c r="B38">
        <v>18131743451</v>
      </c>
      <c r="C38">
        <v>-1.3862943611198906</v>
      </c>
      <c r="D38">
        <v>0.25</v>
      </c>
      <c r="E38">
        <v>11081</v>
      </c>
      <c r="F38">
        <v>1</v>
      </c>
      <c r="G38" t="s">
        <v>89</v>
      </c>
      <c r="H38">
        <v>3041</v>
      </c>
      <c r="I38" t="s">
        <v>302</v>
      </c>
      <c r="J38" t="s">
        <v>110</v>
      </c>
      <c r="K38">
        <v>11</v>
      </c>
      <c r="L38">
        <v>259</v>
      </c>
      <c r="M38" t="s">
        <v>204</v>
      </c>
      <c r="N38" t="s">
        <v>50</v>
      </c>
      <c r="O38" t="s">
        <v>258</v>
      </c>
      <c r="P38">
        <v>2008</v>
      </c>
      <c r="Q38">
        <v>2008</v>
      </c>
      <c r="R38">
        <v>20</v>
      </c>
      <c r="S38">
        <v>16</v>
      </c>
      <c r="T38">
        <v>16</v>
      </c>
      <c r="U38">
        <v>1</v>
      </c>
      <c r="V38">
        <v>3146</v>
      </c>
      <c r="W38">
        <v>0</v>
      </c>
      <c r="X38">
        <v>0</v>
      </c>
      <c r="Y38">
        <v>0</v>
      </c>
      <c r="Z38">
        <v>0</v>
      </c>
      <c r="AA38">
        <v>0</v>
      </c>
      <c r="AB38">
        <v>3146</v>
      </c>
      <c r="AC38">
        <v>3500</v>
      </c>
      <c r="AD38">
        <v>3</v>
      </c>
      <c r="AF38" t="s">
        <v>275</v>
      </c>
      <c r="AG38" t="s">
        <v>111</v>
      </c>
      <c r="AH38" t="s">
        <v>314</v>
      </c>
      <c r="AI38">
        <v>0</v>
      </c>
      <c r="AJ38">
        <v>0</v>
      </c>
      <c r="AK38">
        <v>1</v>
      </c>
      <c r="AL38">
        <v>0</v>
      </c>
      <c r="AM38">
        <v>2</v>
      </c>
      <c r="AN38">
        <v>19</v>
      </c>
      <c r="AO38">
        <v>766</v>
      </c>
      <c r="AP38">
        <v>0</v>
      </c>
      <c r="AQ38">
        <v>766</v>
      </c>
      <c r="AR38">
        <v>0</v>
      </c>
      <c r="AS38">
        <v>0</v>
      </c>
      <c r="AT38">
        <v>0</v>
      </c>
      <c r="AU38">
        <v>0</v>
      </c>
      <c r="AV38">
        <v>100</v>
      </c>
      <c r="AW38">
        <v>100</v>
      </c>
      <c r="AX38">
        <v>686772</v>
      </c>
      <c r="AY38">
        <v>666169</v>
      </c>
      <c r="AZ38">
        <v>850</v>
      </c>
      <c r="BA38">
        <v>365</v>
      </c>
      <c r="BB38">
        <v>365</v>
      </c>
      <c r="BC38">
        <v>120</v>
      </c>
      <c r="BD38" s="6">
        <v>44442</v>
      </c>
      <c r="BE38" t="s">
        <v>98</v>
      </c>
      <c r="BF38">
        <v>615000</v>
      </c>
      <c r="BG38">
        <v>615000</v>
      </c>
      <c r="BH38" t="s">
        <v>198</v>
      </c>
      <c r="BI38">
        <v>30</v>
      </c>
      <c r="BJ38" t="s">
        <v>51</v>
      </c>
      <c r="BK38" t="s">
        <v>314</v>
      </c>
      <c r="BL38">
        <v>638200</v>
      </c>
      <c r="BM38">
        <v>81800</v>
      </c>
      <c r="BN38">
        <v>556400</v>
      </c>
      <c r="BO38">
        <v>0</v>
      </c>
      <c r="BP38">
        <v>1.0377235772357725</v>
      </c>
      <c r="BQ38">
        <v>727128.31846231059</v>
      </c>
      <c r="BR38">
        <v>787160.00141472102</v>
      </c>
      <c r="BS38" s="7">
        <f>(BR38-BL38)/BL38</f>
        <v>0.23340645787327016</v>
      </c>
      <c r="BT38" s="14">
        <f>(Sales[[#This Row],[DP1]]*Lookups!$B$51)+(Sales[[#This Row],[DP2]]*Lookups!$B$52)+(Sales[[#This Row],[DP3]]*Lookups!$B$53)</f>
        <v>-60031.690710000003</v>
      </c>
      <c r="BU38" s="14">
        <f>Lookups!$B$48*0.5</f>
        <v>87214.824999999997</v>
      </c>
      <c r="BV38" s="14">
        <f>Lookups!$B$48*0.5</f>
        <v>87214.824999999997</v>
      </c>
      <c r="BW38" s="14">
        <f>Lookups!$B$49*Sales[[#This Row],[LnAcres]]</f>
        <v>-34695.961780777012</v>
      </c>
      <c r="BX38" s="14">
        <f>VLOOKUP(Sales[[#This Row],[Qlty]],Lookups!$A$54:$E$67,2,FALSE)</f>
        <v>46722.525125</v>
      </c>
      <c r="BY38" s="14">
        <f>VLOOKUP(Sales[[#This Row],[Cnd]],Lookups!$A$68:$E$76,2,FALSE)</f>
        <v>106557.38887</v>
      </c>
      <c r="BZ38" s="14">
        <f>Sales[[#This Row],[Age]]*Lookups!$B$77</f>
        <v>2952.1988799999999</v>
      </c>
      <c r="CA38" s="14">
        <f>Sales[[#This Row],[MainFn]]*Lookups!$B$78</f>
        <v>217336.56201400002</v>
      </c>
      <c r="CB38" s="14">
        <f>Sales[[#This Row],[UpprFn]]*Lookups!$B$79</f>
        <v>0</v>
      </c>
      <c r="CC38" s="14">
        <f>Sales[[#This Row],[AddFn]]*Lookups!$B$80</f>
        <v>0</v>
      </c>
      <c r="CD38" s="14">
        <f>Sales[[#This Row],[Bsmt]]*Lookups!$B$81</f>
        <v>0</v>
      </c>
      <c r="CE38" s="14">
        <f>Sales[[#This Row],[Fixtures]]*Lookups!$B$84</f>
        <v>192946.9</v>
      </c>
      <c r="CF38" s="14">
        <f>Sales[[#This Row],[MsnryFP]]*Lookups!$B$82</f>
        <v>0</v>
      </c>
      <c r="CG38" s="14">
        <f>Sales[[#This Row],[PrefabFP]]*Lookups!$B$83</f>
        <v>42091.021999999997</v>
      </c>
      <c r="CH38" s="14">
        <f>Sales[[#This Row],[GarageArea]]*Lookups!$B$85</f>
        <v>38819.728702</v>
      </c>
      <c r="CI38" s="14">
        <f>SUM(Sales[[#This Row],[Days Prior Total]:[Mdl GarageArea]])</f>
        <v>727128.32310022297</v>
      </c>
      <c r="CJ38" s="14">
        <f>ROUND(Sales[[#This Row],[25Det]],-2)</f>
        <v>0</v>
      </c>
      <c r="CK38" s="14">
        <f>ROUND(SUM(Sales[[#This Row],[Mdl Qlty]:[Mdl GarageArea]])+Sales[[#This Row],[Mdl Res Intercept]]+Sales[[#This Row],[Days Prior Total]],-2)</f>
        <v>674600</v>
      </c>
      <c r="CL38" s="14">
        <f>ROUND(Sales[[#This Row],[Mdl Land Intercept]]+Sales[[#This Row],[Mdl LnAcres]],-2)</f>
        <v>52500</v>
      </c>
      <c r="CM38" s="14">
        <f>Sales[[#This Row],[Unadj Res Value]]+Sales[[#This Row],[Unadj Det Value]]+Sales[[#This Row],[Unadj Land Value]]</f>
        <v>727100</v>
      </c>
      <c r="CN38" s="15">
        <f>Sales[[#This Row],[Unadj Total Value]]/Sales[[#This Row],[Price]]</f>
        <v>1.1822764227642277</v>
      </c>
      <c r="CO38" s="15">
        <f>(Sales[[#This Row],[Unadj Total Value]]-Sales[[#This Row],[24Final]])/Sales[[#This Row],[24Final]]</f>
        <v>0.13929802569727359</v>
      </c>
      <c r="CP38">
        <f>VLOOKUP(Sales[[#This Row],[TNbhd]],Lookups!$M$2:$P$4,4,FALSE)</f>
        <v>0.97570000000000001</v>
      </c>
      <c r="CQ38">
        <f>VLOOKUP(Sales[[#This Row],[Qlty]],Lookups!$M$6:$P$20,4,FALSE)</f>
        <v>0.98329999999999995</v>
      </c>
      <c r="CR38">
        <f>VLOOKUP(Sales[[#This Row],[Cnd]],Lookups!$R$6:$U$15,4,FALSE)</f>
        <v>0.9748</v>
      </c>
      <c r="CS38">
        <f>VLOOKUP(Sales[[#This Row],[LivArea Range]],Lookups!$R$23:$U$39,4,FALSE)</f>
        <v>0.99619999999999997</v>
      </c>
      <c r="CT38">
        <f>VLOOKUP(Sales[[#This Row],[Decade]],Lookups!$M$23:$P$35,4,FALSE)</f>
        <v>0.97499999999999998</v>
      </c>
      <c r="CU38">
        <f>Sales[[#This Row],[Nbhd Adj]]*0.95</f>
        <v>0.92691499999999993</v>
      </c>
      <c r="CV38">
        <f>Sales[[#This Row],[Nbhd Adj]]*Sales[[#This Row],[Quality Adj]]*Sales[[#This Row],[Condition Adj]]*Sales[[#This Row],[Living Area Adj]]*Sales[[#This Row],[Decade Adj]]*0.95</f>
        <v>0.8629638892873509</v>
      </c>
      <c r="CW38">
        <f>ROUND(SUM(Sales[[#This Row],[Mdl Qlty]:[Mdl GarageArea]])+Sales[[#This Row],[Mdl Res Intercept]]*Sales[[#This Row],[Res Adj ]],-2)</f>
        <v>722700</v>
      </c>
      <c r="CX38">
        <f>ROUND(Sales[[#This Row],[25Det]]*Sales[[#This Row],[Det/Nbhd Adj]],-2)</f>
        <v>0</v>
      </c>
      <c r="CY38">
        <f>Sales[[#This Row],[Adjusted Res]]+Sales[[#This Row],[Adj Det ]]</f>
        <v>722700</v>
      </c>
      <c r="CZ38">
        <f>ROUND((Sales[[#This Row],[Mdl Land Intercept]]+Sales[[#This Row],[Mdl LnAcres]])*Sales[[#This Row],[Det/Nbhd Adj]],-2)</f>
        <v>48700</v>
      </c>
      <c r="DA38">
        <f>Sales[[#This Row],[Adjusted Impr Total]]+Sales[[#This Row],[Adjusted Land Total]]</f>
        <v>771400</v>
      </c>
      <c r="DB38">
        <f>IFERROR((Sales[[#This Row],[Adjusted Impr Total]]-Sales[[#This Row],[24Bldg]])/Sales[[#This Row],[24Bldg]],0)</f>
        <v>0.29888569374550683</v>
      </c>
      <c r="DC38">
        <f>(Sales[[#This Row],[Adjusted Land Total]]-Sales[[#This Row],[24Lnd]])/Sales[[#This Row],[24Lnd]]</f>
        <v>-0.40464547677261614</v>
      </c>
      <c r="DD38">
        <f>(Sales[[#This Row],[Adjusted Total]]-Sales[[#This Row],[24Final]])/Sales[[#This Row],[24Final]]</f>
        <v>0.20871200250705108</v>
      </c>
      <c r="DE38">
        <f>(Sales[[#This Row],[Adjusted Total]]+Sales[[#This Row],[Days Prior Total]])/Sales[[#This Row],[Price]]</f>
        <v>1.1566964378699187</v>
      </c>
    </row>
    <row r="39" spans="1:109" x14ac:dyDescent="0.3">
      <c r="A39">
        <v>2025</v>
      </c>
      <c r="B39">
        <v>18131743454</v>
      </c>
      <c r="C39">
        <v>-1.5606477482646683</v>
      </c>
      <c r="D39">
        <v>0.21</v>
      </c>
      <c r="E39">
        <v>9361</v>
      </c>
      <c r="F39">
        <v>1</v>
      </c>
      <c r="G39" t="s">
        <v>89</v>
      </c>
      <c r="H39">
        <v>3041</v>
      </c>
      <c r="I39" t="s">
        <v>302</v>
      </c>
      <c r="J39" t="s">
        <v>110</v>
      </c>
      <c r="K39">
        <v>11</v>
      </c>
      <c r="L39">
        <v>259</v>
      </c>
      <c r="M39" t="s">
        <v>204</v>
      </c>
      <c r="N39" t="s">
        <v>50</v>
      </c>
      <c r="O39" t="s">
        <v>258</v>
      </c>
      <c r="P39">
        <v>2008</v>
      </c>
      <c r="Q39">
        <v>2008</v>
      </c>
      <c r="R39">
        <v>20</v>
      </c>
      <c r="S39">
        <v>16</v>
      </c>
      <c r="T39">
        <v>16</v>
      </c>
      <c r="U39">
        <v>2</v>
      </c>
      <c r="V39">
        <v>2410</v>
      </c>
      <c r="W39">
        <v>1320</v>
      </c>
      <c r="X39">
        <v>0</v>
      </c>
      <c r="Y39">
        <v>0</v>
      </c>
      <c r="Z39">
        <v>0</v>
      </c>
      <c r="AA39">
        <v>0</v>
      </c>
      <c r="AB39">
        <v>3730</v>
      </c>
      <c r="AC39">
        <v>4000</v>
      </c>
      <c r="AD39">
        <v>3</v>
      </c>
      <c r="AF39" t="s">
        <v>275</v>
      </c>
      <c r="AG39" t="s">
        <v>274</v>
      </c>
      <c r="AH39" t="s">
        <v>314</v>
      </c>
      <c r="AI39">
        <v>0</v>
      </c>
      <c r="AJ39">
        <v>0</v>
      </c>
      <c r="AK39">
        <v>1</v>
      </c>
      <c r="AL39">
        <v>1</v>
      </c>
      <c r="AM39">
        <v>0</v>
      </c>
      <c r="AN39">
        <v>15</v>
      </c>
      <c r="AO39">
        <v>849</v>
      </c>
      <c r="AP39">
        <v>0</v>
      </c>
      <c r="AQ39">
        <v>849</v>
      </c>
      <c r="AR39">
        <v>0</v>
      </c>
      <c r="AS39">
        <v>0</v>
      </c>
      <c r="AT39">
        <v>143</v>
      </c>
      <c r="AU39">
        <v>0</v>
      </c>
      <c r="AV39">
        <v>100</v>
      </c>
      <c r="AW39">
        <v>100</v>
      </c>
      <c r="AX39">
        <v>742448</v>
      </c>
      <c r="AY39">
        <v>720175</v>
      </c>
      <c r="AZ39">
        <v>1088</v>
      </c>
      <c r="BA39">
        <v>365</v>
      </c>
      <c r="BB39">
        <v>365</v>
      </c>
      <c r="BC39">
        <v>358</v>
      </c>
      <c r="BD39" s="6">
        <v>44204</v>
      </c>
      <c r="BE39" t="s">
        <v>124</v>
      </c>
      <c r="BF39">
        <v>525000</v>
      </c>
      <c r="BG39">
        <v>525000</v>
      </c>
      <c r="BH39" t="s">
        <v>198</v>
      </c>
      <c r="BI39">
        <v>30</v>
      </c>
      <c r="BJ39" t="s">
        <v>51</v>
      </c>
      <c r="BK39" t="s">
        <v>314</v>
      </c>
      <c r="BL39">
        <v>644600</v>
      </c>
      <c r="BM39">
        <v>71900</v>
      </c>
      <c r="BN39">
        <v>572700</v>
      </c>
      <c r="BO39">
        <v>0</v>
      </c>
      <c r="BP39">
        <v>1.2278095238095239</v>
      </c>
      <c r="BQ39">
        <v>642824.75149855821</v>
      </c>
      <c r="BR39">
        <v>776299.91392796289</v>
      </c>
      <c r="BS39" s="7">
        <f>(BR39-BL39)/BL39</f>
        <v>0.20431261856649532</v>
      </c>
      <c r="BT39" s="14">
        <f>(Sales[[#This Row],[DP1]]*Lookups!$B$51)+(Sales[[#This Row],[DP2]]*Lookups!$B$52)+(Sales[[#This Row],[DP3]]*Lookups!$B$53)</f>
        <v>-133475.15870999999</v>
      </c>
      <c r="BU39" s="14">
        <f>Lookups!$B$48*0.5</f>
        <v>87214.824999999997</v>
      </c>
      <c r="BV39" s="14">
        <f>Lookups!$B$48*0.5</f>
        <v>87214.824999999997</v>
      </c>
      <c r="BW39" s="14">
        <f>Lookups!$B$49*Sales[[#This Row],[LnAcres]]</f>
        <v>-39059.651503814886</v>
      </c>
      <c r="BX39" s="14">
        <f>VLOOKUP(Sales[[#This Row],[Qlty]],Lookups!$A$54:$E$67,2,FALSE)</f>
        <v>46722.525125</v>
      </c>
      <c r="BY39" s="14">
        <f>VLOOKUP(Sales[[#This Row],[Cnd]],Lookups!$A$68:$E$76,2,FALSE)</f>
        <v>106557.38887</v>
      </c>
      <c r="BZ39" s="14">
        <f>Sales[[#This Row],[Age]]*Lookups!$B$77</f>
        <v>2952.1988799999999</v>
      </c>
      <c r="CA39" s="14">
        <f>Sales[[#This Row],[MainFn]]*Lookups!$B$78</f>
        <v>166491.13619000002</v>
      </c>
      <c r="CB39" s="14">
        <f>Sales[[#This Row],[UpprFn]]*Lookups!$B$79</f>
        <v>80763.111000000004</v>
      </c>
      <c r="CC39" s="14">
        <f>Sales[[#This Row],[AddFn]]*Lookups!$B$80</f>
        <v>0</v>
      </c>
      <c r="CD39" s="14">
        <f>Sales[[#This Row],[Bsmt]]*Lookups!$B$81</f>
        <v>0</v>
      </c>
      <c r="CE39" s="14">
        <f>Sales[[#This Row],[Fixtures]]*Lookups!$B$84</f>
        <v>152326.5</v>
      </c>
      <c r="CF39" s="14">
        <f>Sales[[#This Row],[MsnryFP]]*Lookups!$B$82</f>
        <v>0</v>
      </c>
      <c r="CG39" s="14">
        <f>Sales[[#This Row],[PrefabFP]]*Lookups!$B$83</f>
        <v>42091.021999999997</v>
      </c>
      <c r="CH39" s="14">
        <f>Sales[[#This Row],[GarageArea]]*Lookups!$B$85</f>
        <v>43026.043953</v>
      </c>
      <c r="CI39" s="14">
        <f>SUM(Sales[[#This Row],[Days Prior Total]:[Mdl GarageArea]])</f>
        <v>642824.76580418518</v>
      </c>
      <c r="CJ39" s="14">
        <f>ROUND(Sales[[#This Row],[25Det]],-2)</f>
        <v>0</v>
      </c>
      <c r="CK39" s="14">
        <f>ROUND(SUM(Sales[[#This Row],[Mdl Qlty]:[Mdl GarageArea]])+Sales[[#This Row],[Mdl Res Intercept]]+Sales[[#This Row],[Days Prior Total]],-2)</f>
        <v>594700</v>
      </c>
      <c r="CL39" s="14">
        <f>ROUND(Sales[[#This Row],[Mdl Land Intercept]]+Sales[[#This Row],[Mdl LnAcres]],-2)</f>
        <v>48200</v>
      </c>
      <c r="CM39" s="14">
        <f>Sales[[#This Row],[Unadj Res Value]]+Sales[[#This Row],[Unadj Det Value]]+Sales[[#This Row],[Unadj Land Value]]</f>
        <v>642900</v>
      </c>
      <c r="CN39" s="15">
        <f>Sales[[#This Row],[Unadj Total Value]]/Sales[[#This Row],[Price]]</f>
        <v>1.2245714285714286</v>
      </c>
      <c r="CO39" s="15">
        <f>(Sales[[#This Row],[Unadj Total Value]]-Sales[[#This Row],[24Final]])/Sales[[#This Row],[24Final]]</f>
        <v>-2.6372944461681663E-3</v>
      </c>
      <c r="CP39">
        <f>VLOOKUP(Sales[[#This Row],[TNbhd]],Lookups!$M$2:$P$4,4,FALSE)</f>
        <v>0.97570000000000001</v>
      </c>
      <c r="CQ39">
        <f>VLOOKUP(Sales[[#This Row],[Qlty]],Lookups!$M$6:$P$20,4,FALSE)</f>
        <v>0.98329999999999995</v>
      </c>
      <c r="CR39">
        <f>VLOOKUP(Sales[[#This Row],[Cnd]],Lookups!$R$6:$U$15,4,FALSE)</f>
        <v>0.9748</v>
      </c>
      <c r="CS39">
        <f>VLOOKUP(Sales[[#This Row],[LivArea Range]],Lookups!$R$23:$U$39,4,FALSE)</f>
        <v>1.034</v>
      </c>
      <c r="CT39">
        <f>VLOOKUP(Sales[[#This Row],[Decade]],Lookups!$M$23:$P$35,4,FALSE)</f>
        <v>0.97499999999999998</v>
      </c>
      <c r="CU39">
        <f>Sales[[#This Row],[Nbhd Adj]]*0.95</f>
        <v>0.92691499999999993</v>
      </c>
      <c r="CV39">
        <f>Sales[[#This Row],[Nbhd Adj]]*Sales[[#This Row],[Quality Adj]]*Sales[[#This Row],[Condition Adj]]*Sales[[#This Row],[Living Area Adj]]*Sales[[#This Row],[Decade Adj]]*0.95</f>
        <v>0.89570835326553</v>
      </c>
      <c r="CW39">
        <f>ROUND(SUM(Sales[[#This Row],[Mdl Qlty]:[Mdl GarageArea]])+Sales[[#This Row],[Mdl Res Intercept]]*Sales[[#This Row],[Res Adj ]],-2)</f>
        <v>719000</v>
      </c>
      <c r="CX39">
        <f>ROUND(Sales[[#This Row],[25Det]]*Sales[[#This Row],[Det/Nbhd Adj]],-2)</f>
        <v>0</v>
      </c>
      <c r="CY39">
        <f>Sales[[#This Row],[Adjusted Res]]+Sales[[#This Row],[Adj Det ]]</f>
        <v>719000</v>
      </c>
      <c r="CZ39">
        <f>ROUND((Sales[[#This Row],[Mdl Land Intercept]]+Sales[[#This Row],[Mdl LnAcres]])*Sales[[#This Row],[Det/Nbhd Adj]],-2)</f>
        <v>44600</v>
      </c>
      <c r="DA39">
        <f>Sales[[#This Row],[Adjusted Impr Total]]+Sales[[#This Row],[Adjusted Land Total]]</f>
        <v>763600</v>
      </c>
      <c r="DB39">
        <f>IFERROR((Sales[[#This Row],[Adjusted Impr Total]]-Sales[[#This Row],[24Bldg]])/Sales[[#This Row],[24Bldg]],0)</f>
        <v>0.25545660904487516</v>
      </c>
      <c r="DC39">
        <f>(Sales[[#This Row],[Adjusted Land Total]]-Sales[[#This Row],[24Lnd]])/Sales[[#This Row],[24Lnd]]</f>
        <v>-0.37969401947148818</v>
      </c>
      <c r="DD39">
        <f>(Sales[[#This Row],[Adjusted Total]]-Sales[[#This Row],[24Final]])/Sales[[#This Row],[24Final]]</f>
        <v>0.18461061123177164</v>
      </c>
      <c r="DE39">
        <f>(Sales[[#This Row],[Adjusted Total]]+Sales[[#This Row],[Days Prior Total]])/Sales[[#This Row],[Price]]</f>
        <v>1.2002377929333334</v>
      </c>
    </row>
    <row r="40" spans="1:109" x14ac:dyDescent="0.3">
      <c r="A40">
        <v>2025</v>
      </c>
      <c r="B40">
        <v>18131743461</v>
      </c>
      <c r="C40">
        <v>-1.3470736479666092</v>
      </c>
      <c r="D40">
        <v>0.26</v>
      </c>
      <c r="E40">
        <v>11251</v>
      </c>
      <c r="F40">
        <v>1</v>
      </c>
      <c r="G40" t="s">
        <v>89</v>
      </c>
      <c r="H40">
        <v>3041</v>
      </c>
      <c r="I40" t="s">
        <v>302</v>
      </c>
      <c r="J40" t="s">
        <v>110</v>
      </c>
      <c r="K40">
        <v>11</v>
      </c>
      <c r="L40">
        <v>259</v>
      </c>
      <c r="M40" t="s">
        <v>204</v>
      </c>
      <c r="N40" t="s">
        <v>50</v>
      </c>
      <c r="O40" t="s">
        <v>76</v>
      </c>
      <c r="P40">
        <v>2008</v>
      </c>
      <c r="Q40">
        <v>2008</v>
      </c>
      <c r="R40">
        <v>20</v>
      </c>
      <c r="S40">
        <v>16</v>
      </c>
      <c r="T40">
        <v>16</v>
      </c>
      <c r="U40">
        <v>1</v>
      </c>
      <c r="V40">
        <v>2681</v>
      </c>
      <c r="W40">
        <v>0</v>
      </c>
      <c r="X40">
        <v>0</v>
      </c>
      <c r="Y40">
        <v>0</v>
      </c>
      <c r="Z40">
        <v>0</v>
      </c>
      <c r="AA40">
        <v>0</v>
      </c>
      <c r="AB40">
        <v>2681</v>
      </c>
      <c r="AC40">
        <v>3000</v>
      </c>
      <c r="AD40">
        <v>3</v>
      </c>
      <c r="AE40" t="s">
        <v>132</v>
      </c>
      <c r="AF40" t="s">
        <v>275</v>
      </c>
      <c r="AG40" t="s">
        <v>111</v>
      </c>
      <c r="AH40" t="s">
        <v>314</v>
      </c>
      <c r="AI40">
        <v>0</v>
      </c>
      <c r="AJ40">
        <v>0</v>
      </c>
      <c r="AK40">
        <v>2</v>
      </c>
      <c r="AL40">
        <v>0</v>
      </c>
      <c r="AM40">
        <v>0</v>
      </c>
      <c r="AN40">
        <v>14</v>
      </c>
      <c r="AO40">
        <v>688</v>
      </c>
      <c r="AP40">
        <v>0</v>
      </c>
      <c r="AQ40">
        <v>688</v>
      </c>
      <c r="AR40">
        <v>0</v>
      </c>
      <c r="AS40">
        <v>0</v>
      </c>
      <c r="AT40">
        <v>0</v>
      </c>
      <c r="AU40">
        <v>0</v>
      </c>
      <c r="AV40">
        <v>100</v>
      </c>
      <c r="AW40">
        <v>100</v>
      </c>
      <c r="AX40">
        <v>598518</v>
      </c>
      <c r="AY40">
        <v>580562</v>
      </c>
      <c r="AZ40">
        <v>643</v>
      </c>
      <c r="BA40">
        <v>365</v>
      </c>
      <c r="BB40">
        <v>278</v>
      </c>
      <c r="BC40">
        <v>0</v>
      </c>
      <c r="BD40" s="6">
        <v>44649</v>
      </c>
      <c r="BE40" t="s">
        <v>15</v>
      </c>
      <c r="BF40">
        <v>640000</v>
      </c>
      <c r="BG40">
        <v>640000</v>
      </c>
      <c r="BH40" t="s">
        <v>198</v>
      </c>
      <c r="BI40">
        <v>30</v>
      </c>
      <c r="BJ40" t="s">
        <v>51</v>
      </c>
      <c r="BK40" t="s">
        <v>314</v>
      </c>
      <c r="BL40">
        <v>597500</v>
      </c>
      <c r="BM40">
        <v>84000</v>
      </c>
      <c r="BN40">
        <v>513500</v>
      </c>
      <c r="BO40">
        <v>0</v>
      </c>
      <c r="BP40">
        <v>0.93359375</v>
      </c>
      <c r="BQ40">
        <v>739125.72721747821</v>
      </c>
      <c r="BR40">
        <v>770404.65987037867</v>
      </c>
      <c r="BS40" s="7">
        <f>(BR40-BL40)/BL40</f>
        <v>0.28938018388347897</v>
      </c>
      <c r="BT40" s="14">
        <f>(Sales[[#This Row],[DP1]]*Lookups!$B$51)+(Sales[[#This Row],[DP2]]*Lookups!$B$52)+(Sales[[#This Row],[DP3]]*Lookups!$B$53)</f>
        <v>-31278.946212000003</v>
      </c>
      <c r="BU40" s="14">
        <f>Lookups!$B$48*0.5</f>
        <v>87214.824999999997</v>
      </c>
      <c r="BV40" s="14">
        <f>Lookups!$B$48*0.5</f>
        <v>87214.824999999997</v>
      </c>
      <c r="BW40" s="14">
        <f>Lookups!$B$49*Sales[[#This Row],[LnAcres]]</f>
        <v>-33714.35181196651</v>
      </c>
      <c r="BX40" s="14">
        <f>VLOOKUP(Sales[[#This Row],[Qlty]],Lookups!$A$54:$E$67,2,FALSE)</f>
        <v>46722.525125</v>
      </c>
      <c r="BY40" s="14">
        <f>VLOOKUP(Sales[[#This Row],[Cnd]],Lookups!$A$68:$E$76,2,FALSE)</f>
        <v>133581.64413</v>
      </c>
      <c r="BZ40" s="14">
        <f>Sales[[#This Row],[Age]]*Lookups!$B$77</f>
        <v>2952.1988799999999</v>
      </c>
      <c r="CA40" s="14">
        <f>Sales[[#This Row],[MainFn]]*Lookups!$B$78</f>
        <v>185212.75357900001</v>
      </c>
      <c r="CB40" s="14">
        <f>Sales[[#This Row],[UpprFn]]*Lookups!$B$79</f>
        <v>0</v>
      </c>
      <c r="CC40" s="14">
        <f>Sales[[#This Row],[AddFn]]*Lookups!$B$80</f>
        <v>0</v>
      </c>
      <c r="CD40" s="14">
        <f>Sales[[#This Row],[Bsmt]]*Lookups!$B$81</f>
        <v>0</v>
      </c>
      <c r="CE40" s="14">
        <f>Sales[[#This Row],[Fixtures]]*Lookups!$B$84</f>
        <v>142171.4</v>
      </c>
      <c r="CF40" s="14">
        <f>Sales[[#This Row],[MsnryFP]]*Lookups!$B$82</f>
        <v>0</v>
      </c>
      <c r="CG40" s="14">
        <f>Sales[[#This Row],[PrefabFP]]*Lookups!$B$83</f>
        <v>84182.043999999994</v>
      </c>
      <c r="CH40" s="14">
        <f>Sales[[#This Row],[GarageArea]]*Lookups!$B$85</f>
        <v>34866.805935999997</v>
      </c>
      <c r="CI40" s="14">
        <f>SUM(Sales[[#This Row],[Days Prior Total]:[Mdl GarageArea]])</f>
        <v>739125.7236260334</v>
      </c>
      <c r="CJ40" s="14">
        <f>ROUND(Sales[[#This Row],[25Det]],-2)</f>
        <v>0</v>
      </c>
      <c r="CK40" s="14">
        <f>ROUND(SUM(Sales[[#This Row],[Mdl Qlty]:[Mdl GarageArea]])+Sales[[#This Row],[Mdl Res Intercept]]+Sales[[#This Row],[Days Prior Total]],-2)</f>
        <v>685600</v>
      </c>
      <c r="CL40" s="14">
        <f>ROUND(Sales[[#This Row],[Mdl Land Intercept]]+Sales[[#This Row],[Mdl LnAcres]],-2)</f>
        <v>53500</v>
      </c>
      <c r="CM40" s="14">
        <f>Sales[[#This Row],[Unadj Res Value]]+Sales[[#This Row],[Unadj Det Value]]+Sales[[#This Row],[Unadj Land Value]]</f>
        <v>739100</v>
      </c>
      <c r="CN40" s="15">
        <f>Sales[[#This Row],[Unadj Total Value]]/Sales[[#This Row],[Price]]</f>
        <v>1.1548437499999999</v>
      </c>
      <c r="CO40" s="15">
        <f>(Sales[[#This Row],[Unadj Total Value]]-Sales[[#This Row],[24Final]])/Sales[[#This Row],[24Final]]</f>
        <v>0.23698744769874477</v>
      </c>
      <c r="CP40">
        <f>VLOOKUP(Sales[[#This Row],[TNbhd]],Lookups!$M$2:$P$4,4,FALSE)</f>
        <v>0.97570000000000001</v>
      </c>
      <c r="CQ40">
        <f>VLOOKUP(Sales[[#This Row],[Qlty]],Lookups!$M$6:$P$20,4,FALSE)</f>
        <v>0.98329999999999995</v>
      </c>
      <c r="CR40">
        <f>VLOOKUP(Sales[[#This Row],[Cnd]],Lookups!$R$6:$U$15,4,FALSE)</f>
        <v>0.98370000000000002</v>
      </c>
      <c r="CS40">
        <f>VLOOKUP(Sales[[#This Row],[LivArea Range]],Lookups!$R$23:$U$39,4,FALSE)</f>
        <v>0.93310000000000004</v>
      </c>
      <c r="CT40">
        <f>VLOOKUP(Sales[[#This Row],[Decade]],Lookups!$M$23:$P$35,4,FALSE)</f>
        <v>0.97499999999999998</v>
      </c>
      <c r="CU40">
        <f>Sales[[#This Row],[Nbhd Adj]]*0.95</f>
        <v>0.92691499999999993</v>
      </c>
      <c r="CV40">
        <f>Sales[[#This Row],[Nbhd Adj]]*Sales[[#This Row],[Quality Adj]]*Sales[[#This Row],[Condition Adj]]*Sales[[#This Row],[Living Area Adj]]*Sales[[#This Row],[Decade Adj]]*0.95</f>
        <v>0.81568302793433534</v>
      </c>
      <c r="CW40">
        <f>ROUND(SUM(Sales[[#This Row],[Mdl Qlty]:[Mdl GarageArea]])+Sales[[#This Row],[Mdl Res Intercept]]*Sales[[#This Row],[Res Adj ]],-2)</f>
        <v>700800</v>
      </c>
      <c r="CX40">
        <f>ROUND(Sales[[#This Row],[25Det]]*Sales[[#This Row],[Det/Nbhd Adj]],-2)</f>
        <v>0</v>
      </c>
      <c r="CY40">
        <f>Sales[[#This Row],[Adjusted Res]]+Sales[[#This Row],[Adj Det ]]</f>
        <v>700800</v>
      </c>
      <c r="CZ40">
        <f>ROUND((Sales[[#This Row],[Mdl Land Intercept]]+Sales[[#This Row],[Mdl LnAcres]])*Sales[[#This Row],[Det/Nbhd Adj]],-2)</f>
        <v>49600</v>
      </c>
      <c r="DA40">
        <f>Sales[[#This Row],[Adjusted Impr Total]]+Sales[[#This Row],[Adjusted Land Total]]</f>
        <v>750400</v>
      </c>
      <c r="DB40">
        <f>IFERROR((Sales[[#This Row],[Adjusted Impr Total]]-Sales[[#This Row],[24Bldg]])/Sales[[#This Row],[24Bldg]],0)</f>
        <v>0.3647517039922103</v>
      </c>
      <c r="DC40">
        <f>(Sales[[#This Row],[Adjusted Land Total]]-Sales[[#This Row],[24Lnd]])/Sales[[#This Row],[24Lnd]]</f>
        <v>-0.40952380952380951</v>
      </c>
      <c r="DD40">
        <f>(Sales[[#This Row],[Adjusted Total]]-Sales[[#This Row],[24Final]])/Sales[[#This Row],[24Final]]</f>
        <v>0.25589958158995818</v>
      </c>
      <c r="DE40">
        <f>(Sales[[#This Row],[Adjusted Total]]+Sales[[#This Row],[Days Prior Total]])/Sales[[#This Row],[Price]]</f>
        <v>1.1236266465437501</v>
      </c>
    </row>
    <row r="41" spans="1:109" x14ac:dyDescent="0.3">
      <c r="A41">
        <v>2025</v>
      </c>
      <c r="B41">
        <v>18131734437</v>
      </c>
      <c r="C41">
        <v>-1.1711829815029451</v>
      </c>
      <c r="D41">
        <v>0.31</v>
      </c>
      <c r="E41">
        <v>13606</v>
      </c>
      <c r="F41">
        <v>1</v>
      </c>
      <c r="G41" t="s">
        <v>89</v>
      </c>
      <c r="H41">
        <v>3041</v>
      </c>
      <c r="I41" t="s">
        <v>302</v>
      </c>
      <c r="J41" t="s">
        <v>110</v>
      </c>
      <c r="K41">
        <v>11</v>
      </c>
      <c r="L41">
        <v>259</v>
      </c>
      <c r="M41" t="s">
        <v>204</v>
      </c>
      <c r="N41" t="s">
        <v>50</v>
      </c>
      <c r="O41" t="s">
        <v>76</v>
      </c>
      <c r="P41">
        <v>2008</v>
      </c>
      <c r="Q41">
        <v>2008</v>
      </c>
      <c r="R41">
        <v>20</v>
      </c>
      <c r="S41">
        <v>16</v>
      </c>
      <c r="T41">
        <v>16</v>
      </c>
      <c r="U41">
        <v>1</v>
      </c>
      <c r="V41">
        <v>3098</v>
      </c>
      <c r="W41">
        <v>0</v>
      </c>
      <c r="X41">
        <v>0</v>
      </c>
      <c r="Y41">
        <v>0</v>
      </c>
      <c r="Z41">
        <v>0</v>
      </c>
      <c r="AA41">
        <v>0</v>
      </c>
      <c r="AB41">
        <v>3098</v>
      </c>
      <c r="AC41">
        <v>3500</v>
      </c>
      <c r="AD41">
        <v>3</v>
      </c>
      <c r="AE41" t="s">
        <v>132</v>
      </c>
      <c r="AF41" t="s">
        <v>275</v>
      </c>
      <c r="AG41" t="s">
        <v>111</v>
      </c>
      <c r="AH41" t="s">
        <v>314</v>
      </c>
      <c r="AI41">
        <v>0</v>
      </c>
      <c r="AJ41">
        <v>0</v>
      </c>
      <c r="AK41">
        <v>1</v>
      </c>
      <c r="AL41">
        <v>0</v>
      </c>
      <c r="AM41">
        <v>1</v>
      </c>
      <c r="AN41">
        <v>14</v>
      </c>
      <c r="AO41">
        <v>1024</v>
      </c>
      <c r="AP41">
        <v>0</v>
      </c>
      <c r="AQ41">
        <v>1024</v>
      </c>
      <c r="AR41">
        <v>0</v>
      </c>
      <c r="AS41">
        <v>0</v>
      </c>
      <c r="AT41">
        <v>0</v>
      </c>
      <c r="AU41">
        <v>0</v>
      </c>
      <c r="AV41">
        <v>100</v>
      </c>
      <c r="AW41">
        <v>100</v>
      </c>
      <c r="AX41">
        <v>667413</v>
      </c>
      <c r="AY41">
        <v>647391</v>
      </c>
      <c r="AZ41">
        <v>559</v>
      </c>
      <c r="BA41">
        <v>365</v>
      </c>
      <c r="BB41">
        <v>194</v>
      </c>
      <c r="BC41">
        <v>0</v>
      </c>
      <c r="BD41" s="6">
        <v>44733</v>
      </c>
      <c r="BE41" t="s">
        <v>144</v>
      </c>
      <c r="BF41">
        <v>835000</v>
      </c>
      <c r="BG41">
        <v>791865</v>
      </c>
      <c r="BH41" t="s">
        <v>198</v>
      </c>
      <c r="BI41">
        <v>30</v>
      </c>
      <c r="BJ41" t="s">
        <v>51</v>
      </c>
      <c r="BK41" t="s">
        <v>314</v>
      </c>
      <c r="BL41">
        <v>679100</v>
      </c>
      <c r="BM41">
        <v>94000</v>
      </c>
      <c r="BN41">
        <v>585100</v>
      </c>
      <c r="BO41">
        <v>43135</v>
      </c>
      <c r="BP41">
        <v>0.81329341317365267</v>
      </c>
      <c r="BQ41">
        <v>739280.5052425313</v>
      </c>
      <c r="BR41">
        <v>778551.57974515168</v>
      </c>
      <c r="BS41" s="7">
        <f>(BR41-BL41)/BL41</f>
        <v>0.14644614893999658</v>
      </c>
      <c r="BT41" s="14">
        <f>(Sales[[#This Row],[DP1]]*Lookups!$B$51)+(Sales[[#This Row],[DP2]]*Lookups!$B$52)+(Sales[[#This Row],[DP3]]*Lookups!$B$53)</f>
        <v>-39271.088076</v>
      </c>
      <c r="BU41" s="14">
        <f>Lookups!$B$48*0.5</f>
        <v>87214.824999999997</v>
      </c>
      <c r="BV41" s="14">
        <f>Lookups!$B$48*0.5</f>
        <v>87214.824999999997</v>
      </c>
      <c r="BW41" s="14">
        <f>Lookups!$B$49*Sales[[#This Row],[LnAcres]]</f>
        <v>-29312.187298876561</v>
      </c>
      <c r="BX41" s="14">
        <f>VLOOKUP(Sales[[#This Row],[Qlty]],Lookups!$A$54:$E$67,2,FALSE)</f>
        <v>46722.525125</v>
      </c>
      <c r="BY41" s="14">
        <f>VLOOKUP(Sales[[#This Row],[Cnd]],Lookups!$A$68:$E$76,2,FALSE)</f>
        <v>133581.64413</v>
      </c>
      <c r="BZ41" s="14">
        <f>Sales[[#This Row],[Age]]*Lookups!$B$77</f>
        <v>2952.1988799999999</v>
      </c>
      <c r="CA41" s="14">
        <f>Sales[[#This Row],[MainFn]]*Lookups!$B$78</f>
        <v>214020.55598200002</v>
      </c>
      <c r="CB41" s="14">
        <f>Sales[[#This Row],[UpprFn]]*Lookups!$B$79</f>
        <v>0</v>
      </c>
      <c r="CC41" s="14">
        <f>Sales[[#This Row],[AddFn]]*Lookups!$B$80</f>
        <v>0</v>
      </c>
      <c r="CD41" s="14">
        <f>Sales[[#This Row],[Bsmt]]*Lookups!$B$81</f>
        <v>0</v>
      </c>
      <c r="CE41" s="14">
        <f>Sales[[#This Row],[Fixtures]]*Lookups!$B$84</f>
        <v>142171.4</v>
      </c>
      <c r="CF41" s="14">
        <f>Sales[[#This Row],[MsnryFP]]*Lookups!$B$82</f>
        <v>0</v>
      </c>
      <c r="CG41" s="14">
        <f>Sales[[#This Row],[PrefabFP]]*Lookups!$B$83</f>
        <v>42091.021999999997</v>
      </c>
      <c r="CH41" s="14">
        <f>Sales[[#This Row],[GarageArea]]*Lookups!$B$85</f>
        <v>51894.780928</v>
      </c>
      <c r="CI41" s="14">
        <f>SUM(Sales[[#This Row],[Days Prior Total]:[Mdl GarageArea]])</f>
        <v>739280.50167012343</v>
      </c>
      <c r="CJ41" s="14">
        <f>ROUND(Sales[[#This Row],[25Det]],-2)</f>
        <v>43100</v>
      </c>
      <c r="CK41" s="14">
        <f>ROUND(SUM(Sales[[#This Row],[Mdl Qlty]:[Mdl GarageArea]])+Sales[[#This Row],[Mdl Res Intercept]]+Sales[[#This Row],[Days Prior Total]],-2)</f>
        <v>681400</v>
      </c>
      <c r="CL41" s="14">
        <f>ROUND(Sales[[#This Row],[Mdl Land Intercept]]+Sales[[#This Row],[Mdl LnAcres]],-2)</f>
        <v>57900</v>
      </c>
      <c r="CM41" s="14">
        <f>Sales[[#This Row],[Unadj Res Value]]+Sales[[#This Row],[Unadj Det Value]]+Sales[[#This Row],[Unadj Land Value]]</f>
        <v>782400</v>
      </c>
      <c r="CN41" s="15">
        <f>Sales[[#This Row],[Unadj Total Value]]/Sales[[#This Row],[Price]]</f>
        <v>0.93700598802395207</v>
      </c>
      <c r="CO41" s="15">
        <f>(Sales[[#This Row],[Unadj Total Value]]-Sales[[#This Row],[24Final]])/Sales[[#This Row],[24Final]]</f>
        <v>0.15211309085554411</v>
      </c>
      <c r="CP41">
        <f>VLOOKUP(Sales[[#This Row],[TNbhd]],Lookups!$M$2:$P$4,4,FALSE)</f>
        <v>0.97570000000000001</v>
      </c>
      <c r="CQ41">
        <f>VLOOKUP(Sales[[#This Row],[Qlty]],Lookups!$M$6:$P$20,4,FALSE)</f>
        <v>0.98329999999999995</v>
      </c>
      <c r="CR41">
        <f>VLOOKUP(Sales[[#This Row],[Cnd]],Lookups!$R$6:$U$15,4,FALSE)</f>
        <v>0.98370000000000002</v>
      </c>
      <c r="CS41">
        <f>VLOOKUP(Sales[[#This Row],[LivArea Range]],Lookups!$R$23:$U$39,4,FALSE)</f>
        <v>0.99619999999999997</v>
      </c>
      <c r="CT41">
        <f>VLOOKUP(Sales[[#This Row],[Decade]],Lookups!$M$23:$P$35,4,FALSE)</f>
        <v>0.97499999999999998</v>
      </c>
      <c r="CU41">
        <f>Sales[[#This Row],[Nbhd Adj]]*0.95</f>
        <v>0.92691499999999993</v>
      </c>
      <c r="CV41">
        <f>Sales[[#This Row],[Nbhd Adj]]*Sales[[#This Row],[Quality Adj]]*Sales[[#This Row],[Condition Adj]]*Sales[[#This Row],[Living Area Adj]]*Sales[[#This Row],[Decade Adj]]*0.95</f>
        <v>0.87084281687727438</v>
      </c>
      <c r="CW41">
        <f>ROUND(SUM(Sales[[#This Row],[Mdl Qlty]:[Mdl GarageArea]])+Sales[[#This Row],[Mdl Res Intercept]]*Sales[[#This Row],[Res Adj ]],-2)</f>
        <v>709400</v>
      </c>
      <c r="CX41">
        <f>ROUND(Sales[[#This Row],[25Det]]*Sales[[#This Row],[Det/Nbhd Adj]],-2)</f>
        <v>40000</v>
      </c>
      <c r="CY41">
        <f>Sales[[#This Row],[Adjusted Res]]+Sales[[#This Row],[Adj Det ]]</f>
        <v>749400</v>
      </c>
      <c r="CZ41">
        <f>ROUND((Sales[[#This Row],[Mdl Land Intercept]]+Sales[[#This Row],[Mdl LnAcres]])*Sales[[#This Row],[Det/Nbhd Adj]],-2)</f>
        <v>53700</v>
      </c>
      <c r="DA41">
        <f>Sales[[#This Row],[Adjusted Impr Total]]+Sales[[#This Row],[Adjusted Land Total]]</f>
        <v>803100</v>
      </c>
      <c r="DB41">
        <f>IFERROR((Sales[[#This Row],[Adjusted Impr Total]]-Sales[[#This Row],[24Bldg]])/Sales[[#This Row],[24Bldg]],0)</f>
        <v>0.28080669970945138</v>
      </c>
      <c r="DC41">
        <f>(Sales[[#This Row],[Adjusted Land Total]]-Sales[[#This Row],[24Lnd]])/Sales[[#This Row],[24Lnd]]</f>
        <v>-0.42872340425531913</v>
      </c>
      <c r="DD41">
        <f>(Sales[[#This Row],[Adjusted Total]]-Sales[[#This Row],[24Final]])/Sales[[#This Row],[24Final]]</f>
        <v>0.18259461051391548</v>
      </c>
      <c r="DE41">
        <f>(Sales[[#This Row],[Adjusted Total]]+Sales[[#This Row],[Days Prior Total]])/Sales[[#This Row],[Price]]</f>
        <v>0.91476516398083829</v>
      </c>
    </row>
    <row r="42" spans="1:109" x14ac:dyDescent="0.3">
      <c r="A42">
        <v>2025</v>
      </c>
      <c r="B42">
        <v>18131743443</v>
      </c>
      <c r="C42">
        <v>-1.4271163556401458</v>
      </c>
      <c r="D42">
        <v>0.24</v>
      </c>
      <c r="E42">
        <v>10602</v>
      </c>
      <c r="F42">
        <v>1</v>
      </c>
      <c r="G42" t="s">
        <v>89</v>
      </c>
      <c r="H42">
        <v>3041</v>
      </c>
      <c r="I42" t="s">
        <v>302</v>
      </c>
      <c r="J42" t="s">
        <v>110</v>
      </c>
      <c r="K42">
        <v>11</v>
      </c>
      <c r="L42">
        <v>259</v>
      </c>
      <c r="M42" t="s">
        <v>131</v>
      </c>
      <c r="N42" t="s">
        <v>111</v>
      </c>
      <c r="O42" t="s">
        <v>258</v>
      </c>
      <c r="P42">
        <v>2007</v>
      </c>
      <c r="Q42">
        <v>2007</v>
      </c>
      <c r="R42">
        <v>20</v>
      </c>
      <c r="S42">
        <v>17</v>
      </c>
      <c r="T42">
        <v>17</v>
      </c>
      <c r="U42">
        <v>1</v>
      </c>
      <c r="V42">
        <v>2181</v>
      </c>
      <c r="W42">
        <v>0</v>
      </c>
      <c r="X42">
        <v>0</v>
      </c>
      <c r="Y42">
        <v>0</v>
      </c>
      <c r="Z42">
        <v>0</v>
      </c>
      <c r="AA42">
        <v>0</v>
      </c>
      <c r="AB42">
        <v>2181</v>
      </c>
      <c r="AC42">
        <v>2500</v>
      </c>
      <c r="AD42">
        <v>3</v>
      </c>
      <c r="AF42" t="s">
        <v>275</v>
      </c>
      <c r="AG42" t="s">
        <v>111</v>
      </c>
      <c r="AH42" t="s">
        <v>314</v>
      </c>
      <c r="AI42">
        <v>0</v>
      </c>
      <c r="AJ42">
        <v>0</v>
      </c>
      <c r="AK42">
        <v>1</v>
      </c>
      <c r="AL42">
        <v>0</v>
      </c>
      <c r="AM42">
        <v>0</v>
      </c>
      <c r="AN42">
        <v>11</v>
      </c>
      <c r="AO42">
        <v>808</v>
      </c>
      <c r="AP42">
        <v>0</v>
      </c>
      <c r="AQ42">
        <v>808</v>
      </c>
      <c r="AR42">
        <v>0</v>
      </c>
      <c r="AS42">
        <v>36</v>
      </c>
      <c r="AT42">
        <v>0</v>
      </c>
      <c r="AU42">
        <v>0</v>
      </c>
      <c r="AV42">
        <v>100</v>
      </c>
      <c r="AW42">
        <v>100</v>
      </c>
      <c r="AX42">
        <v>438715</v>
      </c>
      <c r="AY42">
        <v>416779</v>
      </c>
      <c r="AZ42">
        <v>550</v>
      </c>
      <c r="BA42">
        <v>365</v>
      </c>
      <c r="BB42">
        <v>185</v>
      </c>
      <c r="BC42">
        <v>0</v>
      </c>
      <c r="BD42" s="6">
        <v>44742</v>
      </c>
      <c r="BE42" t="s">
        <v>123</v>
      </c>
      <c r="BF42">
        <v>575000</v>
      </c>
      <c r="BG42">
        <v>575000</v>
      </c>
      <c r="BH42" t="s">
        <v>198</v>
      </c>
      <c r="BI42">
        <v>30</v>
      </c>
      <c r="BJ42" t="s">
        <v>51</v>
      </c>
      <c r="BK42" t="s">
        <v>314</v>
      </c>
      <c r="BL42">
        <v>498300</v>
      </c>
      <c r="BM42">
        <v>79500</v>
      </c>
      <c r="BN42">
        <v>418800</v>
      </c>
      <c r="BO42">
        <v>0</v>
      </c>
      <c r="BP42">
        <v>0.86660869565217391</v>
      </c>
      <c r="BQ42">
        <v>539365.39478860807</v>
      </c>
      <c r="BR42">
        <v>579492.77020369843</v>
      </c>
      <c r="BS42" s="7">
        <f>(BR42-BL42)/BL42</f>
        <v>0.16293953482580459</v>
      </c>
      <c r="BT42" s="14">
        <f>(Sales[[#This Row],[DP1]]*Lookups!$B$51)+(Sales[[#This Row],[DP2]]*Lookups!$B$52)+(Sales[[#This Row],[DP3]]*Lookups!$B$53)</f>
        <v>-40127.388990000007</v>
      </c>
      <c r="BU42" s="14">
        <f>Lookups!$B$48*0.5</f>
        <v>87214.824999999997</v>
      </c>
      <c r="BV42" s="14">
        <f>Lookups!$B$48*0.5</f>
        <v>87214.824999999997</v>
      </c>
      <c r="BW42" s="14">
        <f>Lookups!$B$49*Sales[[#This Row],[LnAcres]]</f>
        <v>-35717.648373042801</v>
      </c>
      <c r="BX42" s="14">
        <f>VLOOKUP(Sales[[#This Row],[Qlty]],Lookups!$A$54:$E$67,2,FALSE)</f>
        <v>-14329.694740000001</v>
      </c>
      <c r="BY42" s="14">
        <f>VLOOKUP(Sales[[#This Row],[Cnd]],Lookups!$A$68:$E$76,2,FALSE)</f>
        <v>106557.38887</v>
      </c>
      <c r="BZ42" s="14">
        <f>Sales[[#This Row],[Age]]*Lookups!$B$77</f>
        <v>3136.7113099999997</v>
      </c>
      <c r="CA42" s="14">
        <f>Sales[[#This Row],[MainFn]]*Lookups!$B$78</f>
        <v>150671.02407900002</v>
      </c>
      <c r="CB42" s="14">
        <f>Sales[[#This Row],[UpprFn]]*Lookups!$B$79</f>
        <v>0</v>
      </c>
      <c r="CC42" s="14">
        <f>Sales[[#This Row],[AddFn]]*Lookups!$B$80</f>
        <v>0</v>
      </c>
      <c r="CD42" s="14">
        <f>Sales[[#This Row],[Bsmt]]*Lookups!$B$81</f>
        <v>0</v>
      </c>
      <c r="CE42" s="14">
        <f>Sales[[#This Row],[Fixtures]]*Lookups!$B$84</f>
        <v>111706.1</v>
      </c>
      <c r="CF42" s="14">
        <f>Sales[[#This Row],[MsnryFP]]*Lookups!$B$82</f>
        <v>0</v>
      </c>
      <c r="CG42" s="14">
        <f>Sales[[#This Row],[PrefabFP]]*Lookups!$B$83</f>
        <v>42091.021999999997</v>
      </c>
      <c r="CH42" s="14">
        <f>Sales[[#This Row],[GarageArea]]*Lookups!$B$85</f>
        <v>40948.225575999997</v>
      </c>
      <c r="CI42" s="14">
        <f>SUM(Sales[[#This Row],[Days Prior Total]:[Mdl GarageArea]])</f>
        <v>539365.38973195711</v>
      </c>
      <c r="CJ42" s="14">
        <f>ROUND(Sales[[#This Row],[25Det]],-2)</f>
        <v>0</v>
      </c>
      <c r="CK42" s="14">
        <f>ROUND(SUM(Sales[[#This Row],[Mdl Qlty]:[Mdl GarageArea]])+Sales[[#This Row],[Mdl Res Intercept]]+Sales[[#This Row],[Days Prior Total]],-2)</f>
        <v>487900</v>
      </c>
      <c r="CL42" s="14">
        <f>ROUND(Sales[[#This Row],[Mdl Land Intercept]]+Sales[[#This Row],[Mdl LnAcres]],-2)</f>
        <v>51500</v>
      </c>
      <c r="CM42" s="14">
        <f>Sales[[#This Row],[Unadj Res Value]]+Sales[[#This Row],[Unadj Det Value]]+Sales[[#This Row],[Unadj Land Value]]</f>
        <v>539400</v>
      </c>
      <c r="CN42" s="15">
        <f>Sales[[#This Row],[Unadj Total Value]]/Sales[[#This Row],[Price]]</f>
        <v>0.93808695652173912</v>
      </c>
      <c r="CO42" s="15">
        <f>(Sales[[#This Row],[Unadj Total Value]]-Sales[[#This Row],[24Final]])/Sales[[#This Row],[24Final]]</f>
        <v>8.2480433473810955E-2</v>
      </c>
      <c r="CP42">
        <f>VLOOKUP(Sales[[#This Row],[TNbhd]],Lookups!$M$2:$P$4,4,FALSE)</f>
        <v>0.97570000000000001</v>
      </c>
      <c r="CQ42">
        <f>VLOOKUP(Sales[[#This Row],[Qlty]],Lookups!$M$6:$P$20,4,FALSE)</f>
        <v>0.98809999999999998</v>
      </c>
      <c r="CR42">
        <f>VLOOKUP(Sales[[#This Row],[Cnd]],Lookups!$R$6:$U$15,4,FALSE)</f>
        <v>0.9748</v>
      </c>
      <c r="CS42">
        <f>VLOOKUP(Sales[[#This Row],[LivArea Range]],Lookups!$R$23:$U$39,4,FALSE)</f>
        <v>0.93440000000000001</v>
      </c>
      <c r="CT42">
        <f>VLOOKUP(Sales[[#This Row],[Decade]],Lookups!$M$23:$P$35,4,FALSE)</f>
        <v>0.97499999999999998</v>
      </c>
      <c r="CU42">
        <f>Sales[[#This Row],[Nbhd Adj]]*0.95</f>
        <v>0.92691499999999993</v>
      </c>
      <c r="CV42">
        <f>Sales[[#This Row],[Nbhd Adj]]*Sales[[#This Row],[Quality Adj]]*Sales[[#This Row],[Condition Adj]]*Sales[[#This Row],[Living Area Adj]]*Sales[[#This Row],[Decade Adj]]*0.95</f>
        <v>0.81338053585432291</v>
      </c>
      <c r="CW42">
        <f>ROUND(SUM(Sales[[#This Row],[Mdl Qlty]:[Mdl GarageArea]])+Sales[[#This Row],[Mdl Res Intercept]]*Sales[[#This Row],[Res Adj ]],-2)</f>
        <v>511700</v>
      </c>
      <c r="CX42">
        <f>ROUND(Sales[[#This Row],[25Det]]*Sales[[#This Row],[Det/Nbhd Adj]],-2)</f>
        <v>0</v>
      </c>
      <c r="CY42">
        <f>Sales[[#This Row],[Adjusted Res]]+Sales[[#This Row],[Adj Det ]]</f>
        <v>511700</v>
      </c>
      <c r="CZ42">
        <f>ROUND((Sales[[#This Row],[Mdl Land Intercept]]+Sales[[#This Row],[Mdl LnAcres]])*Sales[[#This Row],[Det/Nbhd Adj]],-2)</f>
        <v>47700</v>
      </c>
      <c r="DA42">
        <f>Sales[[#This Row],[Adjusted Impr Total]]+Sales[[#This Row],[Adjusted Land Total]]</f>
        <v>559400</v>
      </c>
      <c r="DB42">
        <f>IFERROR((Sales[[#This Row],[Adjusted Impr Total]]-Sales[[#This Row],[24Bldg]])/Sales[[#This Row],[24Bldg]],0)</f>
        <v>0.22182425978987583</v>
      </c>
      <c r="DC42">
        <f>(Sales[[#This Row],[Adjusted Land Total]]-Sales[[#This Row],[24Lnd]])/Sales[[#This Row],[24Lnd]]</f>
        <v>-0.4</v>
      </c>
      <c r="DD42">
        <f>(Sales[[#This Row],[Adjusted Total]]-Sales[[#This Row],[24Final]])/Sales[[#This Row],[24Final]]</f>
        <v>0.12261689745133454</v>
      </c>
      <c r="DE42">
        <f>(Sales[[#This Row],[Adjusted Total]]+Sales[[#This Row],[Days Prior Total]])/Sales[[#This Row],[Price]]</f>
        <v>0.90308280175652178</v>
      </c>
    </row>
    <row r="43" spans="1:109" x14ac:dyDescent="0.3">
      <c r="A43">
        <v>2025</v>
      </c>
      <c r="B43">
        <v>18131743445</v>
      </c>
      <c r="C43">
        <v>-1.2378743560016174</v>
      </c>
      <c r="D43">
        <v>0.28999999999999998</v>
      </c>
      <c r="E43">
        <v>12658</v>
      </c>
      <c r="F43">
        <v>1</v>
      </c>
      <c r="G43" t="s">
        <v>89</v>
      </c>
      <c r="H43">
        <v>3041</v>
      </c>
      <c r="I43" t="s">
        <v>302</v>
      </c>
      <c r="J43" t="s">
        <v>110</v>
      </c>
      <c r="K43">
        <v>11</v>
      </c>
      <c r="L43">
        <v>259</v>
      </c>
      <c r="M43" t="s">
        <v>131</v>
      </c>
      <c r="N43" t="s">
        <v>75</v>
      </c>
      <c r="O43" t="s">
        <v>258</v>
      </c>
      <c r="P43">
        <v>2007</v>
      </c>
      <c r="Q43">
        <v>2007</v>
      </c>
      <c r="R43">
        <v>20</v>
      </c>
      <c r="S43">
        <v>17</v>
      </c>
      <c r="T43">
        <v>17</v>
      </c>
      <c r="U43">
        <v>1</v>
      </c>
      <c r="V43">
        <v>2410</v>
      </c>
      <c r="W43">
        <v>0</v>
      </c>
      <c r="X43">
        <v>0</v>
      </c>
      <c r="Y43">
        <v>0</v>
      </c>
      <c r="Z43">
        <v>0</v>
      </c>
      <c r="AA43">
        <v>0</v>
      </c>
      <c r="AB43">
        <v>2410</v>
      </c>
      <c r="AC43">
        <v>2500</v>
      </c>
      <c r="AD43">
        <v>3</v>
      </c>
      <c r="AF43" t="s">
        <v>275</v>
      </c>
      <c r="AG43" t="s">
        <v>111</v>
      </c>
      <c r="AH43" t="s">
        <v>314</v>
      </c>
      <c r="AI43">
        <v>0</v>
      </c>
      <c r="AJ43">
        <v>0</v>
      </c>
      <c r="AK43">
        <v>1</v>
      </c>
      <c r="AL43">
        <v>0</v>
      </c>
      <c r="AM43">
        <v>1</v>
      </c>
      <c r="AN43">
        <v>12</v>
      </c>
      <c r="AO43">
        <v>797</v>
      </c>
      <c r="AP43">
        <v>0</v>
      </c>
      <c r="AQ43">
        <v>797</v>
      </c>
      <c r="AR43">
        <v>0</v>
      </c>
      <c r="AS43">
        <v>0</v>
      </c>
      <c r="AT43">
        <v>0</v>
      </c>
      <c r="AU43">
        <v>0</v>
      </c>
      <c r="AV43">
        <v>100</v>
      </c>
      <c r="AW43">
        <v>100</v>
      </c>
      <c r="AX43">
        <v>494549</v>
      </c>
      <c r="AY43">
        <v>474767</v>
      </c>
      <c r="AZ43">
        <v>490</v>
      </c>
      <c r="BA43">
        <v>365</v>
      </c>
      <c r="BB43">
        <v>125</v>
      </c>
      <c r="BC43">
        <v>0</v>
      </c>
      <c r="BD43" s="6">
        <v>44802</v>
      </c>
      <c r="BE43" t="s">
        <v>217</v>
      </c>
      <c r="BF43">
        <v>600000</v>
      </c>
      <c r="BG43">
        <v>600000</v>
      </c>
      <c r="BH43" t="s">
        <v>198</v>
      </c>
      <c r="BI43">
        <v>30</v>
      </c>
      <c r="BJ43" t="s">
        <v>51</v>
      </c>
      <c r="BK43" t="s">
        <v>314</v>
      </c>
      <c r="BL43">
        <v>581500</v>
      </c>
      <c r="BM43">
        <v>90200</v>
      </c>
      <c r="BN43">
        <v>491300</v>
      </c>
      <c r="BO43">
        <v>0</v>
      </c>
      <c r="BP43">
        <v>0.96916666666666662</v>
      </c>
      <c r="BQ43">
        <v>597329.93502069172</v>
      </c>
      <c r="BR43">
        <v>643165.98318558186</v>
      </c>
      <c r="BS43" s="7">
        <f>(BR43-BL43)/BL43</f>
        <v>0.10604640272671</v>
      </c>
      <c r="BT43" s="14">
        <f>(Sales[[#This Row],[DP1]]*Lookups!$B$51)+(Sales[[#This Row],[DP2]]*Lookups!$B$52)+(Sales[[#This Row],[DP3]]*Lookups!$B$53)</f>
        <v>-45836.061750000008</v>
      </c>
      <c r="BU43" s="14">
        <f>Lookups!$B$48*0.5</f>
        <v>87214.824999999997</v>
      </c>
      <c r="BV43" s="14">
        <f>Lookups!$B$48*0.5</f>
        <v>87214.824999999997</v>
      </c>
      <c r="BW43" s="14">
        <f>Lookups!$B$49*Sales[[#This Row],[LnAcres]]</f>
        <v>-30981.328749357657</v>
      </c>
      <c r="BX43" s="14">
        <f>VLOOKUP(Sales[[#This Row],[Qlty]],Lookups!$A$54:$E$67,2,FALSE)</f>
        <v>19189.450408000001</v>
      </c>
      <c r="BY43" s="14">
        <f>VLOOKUP(Sales[[#This Row],[Cnd]],Lookups!$A$68:$E$76,2,FALSE)</f>
        <v>106557.38887</v>
      </c>
      <c r="BZ43" s="14">
        <f>Sales[[#This Row],[Age]]*Lookups!$B$77</f>
        <v>3136.7113099999997</v>
      </c>
      <c r="CA43" s="14">
        <f>Sales[[#This Row],[MainFn]]*Lookups!$B$78</f>
        <v>166491.13619000002</v>
      </c>
      <c r="CB43" s="14">
        <f>Sales[[#This Row],[UpprFn]]*Lookups!$B$79</f>
        <v>0</v>
      </c>
      <c r="CC43" s="14">
        <f>Sales[[#This Row],[AddFn]]*Lookups!$B$80</f>
        <v>0</v>
      </c>
      <c r="CD43" s="14">
        <f>Sales[[#This Row],[Bsmt]]*Lookups!$B$81</f>
        <v>0</v>
      </c>
      <c r="CE43" s="14">
        <f>Sales[[#This Row],[Fixtures]]*Lookups!$B$84</f>
        <v>121861.20000000001</v>
      </c>
      <c r="CF43" s="14">
        <f>Sales[[#This Row],[MsnryFP]]*Lookups!$B$82</f>
        <v>0</v>
      </c>
      <c r="CG43" s="14">
        <f>Sales[[#This Row],[PrefabFP]]*Lookups!$B$83</f>
        <v>42091.021999999997</v>
      </c>
      <c r="CH43" s="14">
        <f>Sales[[#This Row],[GarageArea]]*Lookups!$B$85</f>
        <v>40390.762109000003</v>
      </c>
      <c r="CI43" s="14">
        <f>SUM(Sales[[#This Row],[Days Prior Total]:[Mdl GarageArea]])</f>
        <v>597329.93038764247</v>
      </c>
      <c r="CJ43" s="14">
        <f>ROUND(Sales[[#This Row],[25Det]],-2)</f>
        <v>0</v>
      </c>
      <c r="CK43" s="14">
        <f>ROUND(SUM(Sales[[#This Row],[Mdl Qlty]:[Mdl GarageArea]])+Sales[[#This Row],[Mdl Res Intercept]]+Sales[[#This Row],[Days Prior Total]],-2)</f>
        <v>541100</v>
      </c>
      <c r="CL43" s="14">
        <f>ROUND(Sales[[#This Row],[Mdl Land Intercept]]+Sales[[#This Row],[Mdl LnAcres]],-2)</f>
        <v>56200</v>
      </c>
      <c r="CM43" s="14">
        <f>Sales[[#This Row],[Unadj Res Value]]+Sales[[#This Row],[Unadj Det Value]]+Sales[[#This Row],[Unadj Land Value]]</f>
        <v>597300</v>
      </c>
      <c r="CN43" s="15">
        <f>Sales[[#This Row],[Unadj Total Value]]/Sales[[#This Row],[Price]]</f>
        <v>0.99550000000000005</v>
      </c>
      <c r="CO43" s="15">
        <f>(Sales[[#This Row],[Unadj Total Value]]-Sales[[#This Row],[24Final]])/Sales[[#This Row],[24Final]]</f>
        <v>2.7171109200343938E-2</v>
      </c>
      <c r="CP43">
        <f>VLOOKUP(Sales[[#This Row],[TNbhd]],Lookups!$M$2:$P$4,4,FALSE)</f>
        <v>0.97570000000000001</v>
      </c>
      <c r="CQ43">
        <f>VLOOKUP(Sales[[#This Row],[Qlty]],Lookups!$M$6:$P$20,4,FALSE)</f>
        <v>0.9819</v>
      </c>
      <c r="CR43">
        <f>VLOOKUP(Sales[[#This Row],[Cnd]],Lookups!$R$6:$U$15,4,FALSE)</f>
        <v>0.9748</v>
      </c>
      <c r="CS43">
        <f>VLOOKUP(Sales[[#This Row],[LivArea Range]],Lookups!$R$23:$U$39,4,FALSE)</f>
        <v>0.93440000000000001</v>
      </c>
      <c r="CT43">
        <f>VLOOKUP(Sales[[#This Row],[Decade]],Lookups!$M$23:$P$35,4,FALSE)</f>
        <v>0.97499999999999998</v>
      </c>
      <c r="CU43">
        <f>Sales[[#This Row],[Nbhd Adj]]*0.95</f>
        <v>0.92691499999999993</v>
      </c>
      <c r="CV43">
        <f>Sales[[#This Row],[Nbhd Adj]]*Sales[[#This Row],[Quality Adj]]*Sales[[#This Row],[Condition Adj]]*Sales[[#This Row],[Living Area Adj]]*Sales[[#This Row],[Decade Adj]]*0.95</f>
        <v>0.80827684258208654</v>
      </c>
      <c r="CW43">
        <f>ROUND(SUM(Sales[[#This Row],[Mdl Qlty]:[Mdl GarageArea]])+Sales[[#This Row],[Mdl Res Intercept]]*Sales[[#This Row],[Res Adj ]],-2)</f>
        <v>570200</v>
      </c>
      <c r="CX43">
        <f>ROUND(Sales[[#This Row],[25Det]]*Sales[[#This Row],[Det/Nbhd Adj]],-2)</f>
        <v>0</v>
      </c>
      <c r="CY43">
        <f>Sales[[#This Row],[Adjusted Res]]+Sales[[#This Row],[Adj Det ]]</f>
        <v>570200</v>
      </c>
      <c r="CZ43">
        <f>ROUND((Sales[[#This Row],[Mdl Land Intercept]]+Sales[[#This Row],[Mdl LnAcres]])*Sales[[#This Row],[Det/Nbhd Adj]],-2)</f>
        <v>52100</v>
      </c>
      <c r="DA43">
        <f>Sales[[#This Row],[Adjusted Impr Total]]+Sales[[#This Row],[Adjusted Land Total]]</f>
        <v>622300</v>
      </c>
      <c r="DB43">
        <f>IFERROR((Sales[[#This Row],[Adjusted Impr Total]]-Sales[[#This Row],[24Bldg]])/Sales[[#This Row],[24Bldg]],0)</f>
        <v>0.16059434154284552</v>
      </c>
      <c r="DC43">
        <f>(Sales[[#This Row],[Adjusted Land Total]]-Sales[[#This Row],[24Lnd]])/Sales[[#This Row],[24Lnd]]</f>
        <v>-0.42239467849223949</v>
      </c>
      <c r="DD43">
        <f>(Sales[[#This Row],[Adjusted Total]]-Sales[[#This Row],[24Final]])/Sales[[#This Row],[24Final]]</f>
        <v>7.0163370593293209E-2</v>
      </c>
      <c r="DE43">
        <f>(Sales[[#This Row],[Adjusted Total]]+Sales[[#This Row],[Days Prior Total]])/Sales[[#This Row],[Price]]</f>
        <v>0.96077323041666662</v>
      </c>
    </row>
    <row r="44" spans="1:109" x14ac:dyDescent="0.3">
      <c r="A44">
        <v>2025</v>
      </c>
      <c r="B44">
        <v>18131743460</v>
      </c>
      <c r="C44">
        <v>-1.2729656758128873</v>
      </c>
      <c r="D44">
        <v>0.28000000000000003</v>
      </c>
      <c r="E44">
        <v>12141</v>
      </c>
      <c r="F44">
        <v>1</v>
      </c>
      <c r="G44" t="s">
        <v>89</v>
      </c>
      <c r="H44">
        <v>3041</v>
      </c>
      <c r="I44" t="s">
        <v>302</v>
      </c>
      <c r="J44" t="s">
        <v>110</v>
      </c>
      <c r="K44">
        <v>11</v>
      </c>
      <c r="L44">
        <v>259</v>
      </c>
      <c r="M44" t="s">
        <v>204</v>
      </c>
      <c r="N44" t="s">
        <v>50</v>
      </c>
      <c r="O44" t="s">
        <v>76</v>
      </c>
      <c r="P44">
        <v>2007</v>
      </c>
      <c r="Q44">
        <v>2007</v>
      </c>
      <c r="R44">
        <v>20</v>
      </c>
      <c r="S44">
        <v>17</v>
      </c>
      <c r="T44">
        <v>17</v>
      </c>
      <c r="U44">
        <v>1</v>
      </c>
      <c r="V44">
        <v>2829</v>
      </c>
      <c r="W44">
        <v>0</v>
      </c>
      <c r="X44">
        <v>0</v>
      </c>
      <c r="Y44">
        <v>0</v>
      </c>
      <c r="Z44">
        <v>0</v>
      </c>
      <c r="AA44">
        <v>0</v>
      </c>
      <c r="AB44">
        <v>2829</v>
      </c>
      <c r="AC44">
        <v>3000</v>
      </c>
      <c r="AD44">
        <v>3</v>
      </c>
      <c r="AE44" t="s">
        <v>5</v>
      </c>
      <c r="AF44" t="s">
        <v>153</v>
      </c>
      <c r="AG44" t="s">
        <v>274</v>
      </c>
      <c r="AI44">
        <v>0</v>
      </c>
      <c r="AJ44">
        <v>0</v>
      </c>
      <c r="AK44">
        <v>1</v>
      </c>
      <c r="AL44">
        <v>2</v>
      </c>
      <c r="AM44">
        <v>1</v>
      </c>
      <c r="AN44">
        <v>17</v>
      </c>
      <c r="AO44">
        <v>844</v>
      </c>
      <c r="AP44">
        <v>0</v>
      </c>
      <c r="AQ44">
        <v>844</v>
      </c>
      <c r="AR44">
        <v>0</v>
      </c>
      <c r="AS44">
        <v>0</v>
      </c>
      <c r="AT44">
        <v>0</v>
      </c>
      <c r="AU44">
        <v>0</v>
      </c>
      <c r="AV44">
        <v>100</v>
      </c>
      <c r="AW44">
        <v>100</v>
      </c>
      <c r="AX44">
        <v>641422</v>
      </c>
      <c r="AY44">
        <v>622179</v>
      </c>
      <c r="AZ44">
        <v>942</v>
      </c>
      <c r="BA44">
        <v>365</v>
      </c>
      <c r="BB44">
        <v>365</v>
      </c>
      <c r="BC44">
        <v>212</v>
      </c>
      <c r="BD44" s="6">
        <v>44350</v>
      </c>
      <c r="BE44" t="s">
        <v>67</v>
      </c>
      <c r="BF44">
        <v>595000</v>
      </c>
      <c r="BG44">
        <v>595000</v>
      </c>
      <c r="BH44" t="s">
        <v>198</v>
      </c>
      <c r="BI44">
        <v>30</v>
      </c>
      <c r="BJ44" t="s">
        <v>51</v>
      </c>
      <c r="BK44" t="s">
        <v>314</v>
      </c>
      <c r="BL44">
        <v>629700</v>
      </c>
      <c r="BM44">
        <v>88200</v>
      </c>
      <c r="BN44">
        <v>541500</v>
      </c>
      <c r="BO44">
        <v>0</v>
      </c>
      <c r="BP44">
        <v>1.0583193277310925</v>
      </c>
      <c r="BQ44">
        <v>690526.80988016573</v>
      </c>
      <c r="BR44">
        <v>778948.40926906129</v>
      </c>
      <c r="BS44" s="7">
        <f>(BR44-BL44)/BL44</f>
        <v>0.23701510126895553</v>
      </c>
      <c r="BT44" s="14">
        <f>(Sales[[#This Row],[DP1]]*Lookups!$B$51)+(Sales[[#This Row],[DP2]]*Lookups!$B$52)+(Sales[[#This Row],[DP3]]*Lookups!$B$53)</f>
        <v>-88421.602710000006</v>
      </c>
      <c r="BU44" s="14">
        <f>Lookups!$B$48*0.5</f>
        <v>87214.824999999997</v>
      </c>
      <c r="BV44" s="14">
        <f>Lookups!$B$48*0.5</f>
        <v>87214.824999999997</v>
      </c>
      <c r="BW44" s="14">
        <f>Lookups!$B$49*Sales[[#This Row],[LnAcres]]</f>
        <v>-31859.58889753087</v>
      </c>
      <c r="BX44" s="14">
        <f>VLOOKUP(Sales[[#This Row],[Qlty]],Lookups!$A$54:$E$67,2,FALSE)</f>
        <v>46722.525125</v>
      </c>
      <c r="BY44" s="14">
        <f>VLOOKUP(Sales[[#This Row],[Cnd]],Lookups!$A$68:$E$76,2,FALSE)</f>
        <v>133581.64413</v>
      </c>
      <c r="BZ44" s="14">
        <f>Sales[[#This Row],[Age]]*Lookups!$B$77</f>
        <v>3136.7113099999997</v>
      </c>
      <c r="CA44" s="14">
        <f>Sales[[#This Row],[MainFn]]*Lookups!$B$78</f>
        <v>195437.105511</v>
      </c>
      <c r="CB44" s="14">
        <f>Sales[[#This Row],[UpprFn]]*Lookups!$B$79</f>
        <v>0</v>
      </c>
      <c r="CC44" s="14">
        <f>Sales[[#This Row],[AddFn]]*Lookups!$B$80</f>
        <v>0</v>
      </c>
      <c r="CD44" s="14">
        <f>Sales[[#This Row],[Bsmt]]*Lookups!$B$81</f>
        <v>0</v>
      </c>
      <c r="CE44" s="14">
        <f>Sales[[#This Row],[Fixtures]]*Lookups!$B$84</f>
        <v>172636.7</v>
      </c>
      <c r="CF44" s="14">
        <f>Sales[[#This Row],[MsnryFP]]*Lookups!$B$82</f>
        <v>0</v>
      </c>
      <c r="CG44" s="14">
        <f>Sales[[#This Row],[PrefabFP]]*Lookups!$B$83</f>
        <v>42091.021999999997</v>
      </c>
      <c r="CH44" s="14">
        <f>Sales[[#This Row],[GarageArea]]*Lookups!$B$85</f>
        <v>42772.651468000004</v>
      </c>
      <c r="CI44" s="14">
        <f>SUM(Sales[[#This Row],[Days Prior Total]:[Mdl GarageArea]])</f>
        <v>690526.8179364691</v>
      </c>
      <c r="CJ44" s="14">
        <f>ROUND(Sales[[#This Row],[25Det]],-2)</f>
        <v>0</v>
      </c>
      <c r="CK44" s="14">
        <f>ROUND(SUM(Sales[[#This Row],[Mdl Qlty]:[Mdl GarageArea]])+Sales[[#This Row],[Mdl Res Intercept]]+Sales[[#This Row],[Days Prior Total]],-2)</f>
        <v>635200</v>
      </c>
      <c r="CL44" s="14">
        <f>ROUND(Sales[[#This Row],[Mdl Land Intercept]]+Sales[[#This Row],[Mdl LnAcres]],-2)</f>
        <v>55400</v>
      </c>
      <c r="CM44" s="14">
        <f>Sales[[#This Row],[Unadj Res Value]]+Sales[[#This Row],[Unadj Det Value]]+Sales[[#This Row],[Unadj Land Value]]</f>
        <v>690600</v>
      </c>
      <c r="CN44" s="15">
        <f>Sales[[#This Row],[Unadj Total Value]]/Sales[[#This Row],[Price]]</f>
        <v>1.160672268907563</v>
      </c>
      <c r="CO44" s="15">
        <f>(Sales[[#This Row],[Unadj Total Value]]-Sales[[#This Row],[24Final]])/Sales[[#This Row],[24Final]]</f>
        <v>9.6712720343020489E-2</v>
      </c>
      <c r="CP44">
        <f>VLOOKUP(Sales[[#This Row],[TNbhd]],Lookups!$M$2:$P$4,4,FALSE)</f>
        <v>0.97570000000000001</v>
      </c>
      <c r="CQ44">
        <f>VLOOKUP(Sales[[#This Row],[Qlty]],Lookups!$M$6:$P$20,4,FALSE)</f>
        <v>0.98329999999999995</v>
      </c>
      <c r="CR44">
        <f>VLOOKUP(Sales[[#This Row],[Cnd]],Lookups!$R$6:$U$15,4,FALSE)</f>
        <v>0.98370000000000002</v>
      </c>
      <c r="CS44">
        <f>VLOOKUP(Sales[[#This Row],[LivArea Range]],Lookups!$R$23:$U$39,4,FALSE)</f>
        <v>0.93310000000000004</v>
      </c>
      <c r="CT44">
        <f>VLOOKUP(Sales[[#This Row],[Decade]],Lookups!$M$23:$P$35,4,FALSE)</f>
        <v>0.97499999999999998</v>
      </c>
      <c r="CU44">
        <f>Sales[[#This Row],[Nbhd Adj]]*0.95</f>
        <v>0.92691499999999993</v>
      </c>
      <c r="CV44">
        <f>Sales[[#This Row],[Nbhd Adj]]*Sales[[#This Row],[Quality Adj]]*Sales[[#This Row],[Condition Adj]]*Sales[[#This Row],[Living Area Adj]]*Sales[[#This Row],[Decade Adj]]*0.95</f>
        <v>0.81568302793433534</v>
      </c>
      <c r="CW44">
        <f>ROUND(SUM(Sales[[#This Row],[Mdl Qlty]:[Mdl GarageArea]])+Sales[[#This Row],[Mdl Res Intercept]]*Sales[[#This Row],[Res Adj ]],-2)</f>
        <v>707500</v>
      </c>
      <c r="CX44">
        <f>ROUND(Sales[[#This Row],[25Det]]*Sales[[#This Row],[Det/Nbhd Adj]],-2)</f>
        <v>0</v>
      </c>
      <c r="CY44">
        <f>Sales[[#This Row],[Adjusted Res]]+Sales[[#This Row],[Adj Det ]]</f>
        <v>707500</v>
      </c>
      <c r="CZ44">
        <f>ROUND((Sales[[#This Row],[Mdl Land Intercept]]+Sales[[#This Row],[Mdl LnAcres]])*Sales[[#This Row],[Det/Nbhd Adj]],-2)</f>
        <v>51300</v>
      </c>
      <c r="DA44">
        <f>Sales[[#This Row],[Adjusted Impr Total]]+Sales[[#This Row],[Adjusted Land Total]]</f>
        <v>758800</v>
      </c>
      <c r="DB44">
        <f>IFERROR((Sales[[#This Row],[Adjusted Impr Total]]-Sales[[#This Row],[24Bldg]])/Sales[[#This Row],[24Bldg]],0)</f>
        <v>0.30655586334256696</v>
      </c>
      <c r="DC44">
        <f>(Sales[[#This Row],[Adjusted Land Total]]-Sales[[#This Row],[24Lnd]])/Sales[[#This Row],[24Lnd]]</f>
        <v>-0.41836734693877553</v>
      </c>
      <c r="DD44">
        <f>(Sales[[#This Row],[Adjusted Total]]-Sales[[#This Row],[24Final]])/Sales[[#This Row],[24Final]]</f>
        <v>0.205018262664761</v>
      </c>
      <c r="DE44">
        <f>(Sales[[#This Row],[Adjusted Total]]+Sales[[#This Row],[Days Prior Total]])/Sales[[#This Row],[Price]]</f>
        <v>1.1266863819999999</v>
      </c>
    </row>
    <row r="45" spans="1:109" x14ac:dyDescent="0.3">
      <c r="A45">
        <v>2025</v>
      </c>
      <c r="B45">
        <v>18131634478</v>
      </c>
      <c r="C45">
        <v>-1.4696759700589417</v>
      </c>
      <c r="D45">
        <v>0.23</v>
      </c>
      <c r="E45">
        <v>9999</v>
      </c>
      <c r="F45">
        <v>5</v>
      </c>
      <c r="G45" t="s">
        <v>89</v>
      </c>
      <c r="H45">
        <v>3041</v>
      </c>
      <c r="I45" t="s">
        <v>302</v>
      </c>
      <c r="J45" t="s">
        <v>26</v>
      </c>
      <c r="K45">
        <v>11</v>
      </c>
      <c r="L45">
        <v>259</v>
      </c>
      <c r="M45" t="s">
        <v>204</v>
      </c>
      <c r="N45" t="s">
        <v>111</v>
      </c>
      <c r="O45" t="s">
        <v>258</v>
      </c>
      <c r="P45">
        <v>2006</v>
      </c>
      <c r="Q45">
        <v>2006</v>
      </c>
      <c r="R45">
        <v>20</v>
      </c>
      <c r="S45">
        <v>18</v>
      </c>
      <c r="T45">
        <v>18</v>
      </c>
      <c r="U45">
        <v>1</v>
      </c>
      <c r="V45">
        <v>2280</v>
      </c>
      <c r="W45">
        <v>0</v>
      </c>
      <c r="X45">
        <v>0</v>
      </c>
      <c r="Y45">
        <v>0</v>
      </c>
      <c r="Z45">
        <v>0</v>
      </c>
      <c r="AA45">
        <v>0</v>
      </c>
      <c r="AB45">
        <v>2280</v>
      </c>
      <c r="AC45">
        <v>2500</v>
      </c>
      <c r="AD45">
        <v>3</v>
      </c>
      <c r="AE45" t="s">
        <v>132</v>
      </c>
      <c r="AF45" t="s">
        <v>275</v>
      </c>
      <c r="AG45" t="s">
        <v>111</v>
      </c>
      <c r="AH45" t="s">
        <v>314</v>
      </c>
      <c r="AI45">
        <v>0</v>
      </c>
      <c r="AJ45">
        <v>0</v>
      </c>
      <c r="AK45">
        <v>1</v>
      </c>
      <c r="AL45">
        <v>1</v>
      </c>
      <c r="AM45">
        <v>0</v>
      </c>
      <c r="AN45">
        <v>10</v>
      </c>
      <c r="AO45">
        <v>888</v>
      </c>
      <c r="AP45">
        <v>0</v>
      </c>
      <c r="AQ45">
        <v>888</v>
      </c>
      <c r="AR45">
        <v>0</v>
      </c>
      <c r="AS45">
        <v>0</v>
      </c>
      <c r="AT45">
        <v>232</v>
      </c>
      <c r="AU45">
        <v>0</v>
      </c>
      <c r="AV45">
        <v>100</v>
      </c>
      <c r="AW45">
        <v>100</v>
      </c>
      <c r="AX45">
        <v>441085</v>
      </c>
      <c r="AY45">
        <v>419031</v>
      </c>
      <c r="AZ45">
        <v>756</v>
      </c>
      <c r="BA45">
        <v>365</v>
      </c>
      <c r="BB45">
        <v>365</v>
      </c>
      <c r="BC45">
        <v>26</v>
      </c>
      <c r="BD45" s="6">
        <v>44536</v>
      </c>
      <c r="BE45" t="s">
        <v>216</v>
      </c>
      <c r="BF45">
        <v>421000</v>
      </c>
      <c r="BG45">
        <v>421000</v>
      </c>
      <c r="BH45" t="s">
        <v>198</v>
      </c>
      <c r="BI45">
        <v>30</v>
      </c>
      <c r="BJ45" t="s">
        <v>51</v>
      </c>
      <c r="BK45" t="s">
        <v>314</v>
      </c>
      <c r="BL45">
        <v>494400</v>
      </c>
      <c r="BM45">
        <v>77000</v>
      </c>
      <c r="BN45">
        <v>417400</v>
      </c>
      <c r="BO45">
        <v>0</v>
      </c>
      <c r="BP45">
        <v>1.1743467933491687</v>
      </c>
      <c r="BQ45">
        <v>548325.95536763011</v>
      </c>
      <c r="BR45">
        <v>579350.54978711018</v>
      </c>
      <c r="BS45" s="7">
        <f>(BR45-BL45)/BL45</f>
        <v>0.17182554568590247</v>
      </c>
      <c r="BT45" s="14">
        <f>(Sales[[#This Row],[DP1]]*Lookups!$B$51)+(Sales[[#This Row],[DP2]]*Lookups!$B$52)+(Sales[[#This Row],[DP3]]*Lookups!$B$53)</f>
        <v>-31024.606710000004</v>
      </c>
      <c r="BU45" s="14">
        <f>Lookups!$B$48*0.5</f>
        <v>87214.824999999997</v>
      </c>
      <c r="BV45" s="14">
        <f>Lookups!$B$48*0.5</f>
        <v>87214.824999999997</v>
      </c>
      <c r="BW45" s="14">
        <f>Lookups!$B$49*Sales[[#This Row],[LnAcres]]</f>
        <v>-36782.823848535809</v>
      </c>
      <c r="BX45" s="14">
        <f>VLOOKUP(Sales[[#This Row],[Qlty]],Lookups!$A$54:$E$67,2,FALSE)</f>
        <v>-14329.694740000001</v>
      </c>
      <c r="BY45" s="14">
        <f>VLOOKUP(Sales[[#This Row],[Cnd]],Lookups!$A$68:$E$76,2,FALSE)</f>
        <v>106557.38887</v>
      </c>
      <c r="BZ45" s="14">
        <f>Sales[[#This Row],[Age]]*Lookups!$B$77</f>
        <v>3321.2237399999999</v>
      </c>
      <c r="CA45" s="14">
        <f>Sales[[#This Row],[MainFn]]*Lookups!$B$78</f>
        <v>157510.28652000002</v>
      </c>
      <c r="CB45" s="14">
        <f>Sales[[#This Row],[UpprFn]]*Lookups!$B$79</f>
        <v>0</v>
      </c>
      <c r="CC45" s="14">
        <f>Sales[[#This Row],[AddFn]]*Lookups!$B$80</f>
        <v>0</v>
      </c>
      <c r="CD45" s="14">
        <f>Sales[[#This Row],[Bsmt]]*Lookups!$B$81</f>
        <v>0</v>
      </c>
      <c r="CE45" s="14">
        <f>Sales[[#This Row],[Fixtures]]*Lookups!$B$84</f>
        <v>101551</v>
      </c>
      <c r="CF45" s="14">
        <f>Sales[[#This Row],[MsnryFP]]*Lookups!$B$82</f>
        <v>0</v>
      </c>
      <c r="CG45" s="14">
        <f>Sales[[#This Row],[PrefabFP]]*Lookups!$B$83</f>
        <v>42091.021999999997</v>
      </c>
      <c r="CH45" s="14">
        <f>Sales[[#This Row],[GarageArea]]*Lookups!$B$85</f>
        <v>45002.505336000002</v>
      </c>
      <c r="CI45" s="14">
        <f>SUM(Sales[[#This Row],[Days Prior Total]:[Mdl GarageArea]])</f>
        <v>548325.95116746426</v>
      </c>
      <c r="CJ45" s="14">
        <f>ROUND(Sales[[#This Row],[25Det]],-2)</f>
        <v>0</v>
      </c>
      <c r="CK45" s="14">
        <f>ROUND(SUM(Sales[[#This Row],[Mdl Qlty]:[Mdl GarageArea]])+Sales[[#This Row],[Mdl Res Intercept]]+Sales[[#This Row],[Days Prior Total]],-2)</f>
        <v>497900</v>
      </c>
      <c r="CL45" s="14">
        <f>ROUND(Sales[[#This Row],[Mdl Land Intercept]]+Sales[[#This Row],[Mdl LnAcres]],-2)</f>
        <v>50400</v>
      </c>
      <c r="CM45" s="14">
        <f>Sales[[#This Row],[Unadj Res Value]]+Sales[[#This Row],[Unadj Det Value]]+Sales[[#This Row],[Unadj Land Value]]</f>
        <v>548300</v>
      </c>
      <c r="CN45" s="15">
        <f>Sales[[#This Row],[Unadj Total Value]]/Sales[[#This Row],[Price]]</f>
        <v>1.3023752969121141</v>
      </c>
      <c r="CO45" s="15">
        <f>(Sales[[#This Row],[Unadj Total Value]]-Sales[[#This Row],[24Final]])/Sales[[#This Row],[24Final]]</f>
        <v>0.1090210355987055</v>
      </c>
      <c r="CP45">
        <f>VLOOKUP(Sales[[#This Row],[TNbhd]],Lookups!$M$2:$P$4,4,FALSE)</f>
        <v>0.97570000000000001</v>
      </c>
      <c r="CQ45">
        <f>VLOOKUP(Sales[[#This Row],[Qlty]],Lookups!$M$6:$P$20,4,FALSE)</f>
        <v>0.98809999999999998</v>
      </c>
      <c r="CR45">
        <f>VLOOKUP(Sales[[#This Row],[Cnd]],Lookups!$R$6:$U$15,4,FALSE)</f>
        <v>0.9748</v>
      </c>
      <c r="CS45">
        <f>VLOOKUP(Sales[[#This Row],[LivArea Range]],Lookups!$R$23:$U$39,4,FALSE)</f>
        <v>0.93440000000000001</v>
      </c>
      <c r="CT45">
        <f>VLOOKUP(Sales[[#This Row],[Decade]],Lookups!$M$23:$P$35,4,FALSE)</f>
        <v>0.97499999999999998</v>
      </c>
      <c r="CU45">
        <f>Sales[[#This Row],[Nbhd Adj]]*0.95</f>
        <v>0.92691499999999993</v>
      </c>
      <c r="CV45">
        <f>Sales[[#This Row],[Nbhd Adj]]*Sales[[#This Row],[Quality Adj]]*Sales[[#This Row],[Condition Adj]]*Sales[[#This Row],[Living Area Adj]]*Sales[[#This Row],[Decade Adj]]*0.95</f>
        <v>0.81338053585432291</v>
      </c>
      <c r="CW45">
        <f>ROUND(SUM(Sales[[#This Row],[Mdl Qlty]:[Mdl GarageArea]])+Sales[[#This Row],[Mdl Res Intercept]]*Sales[[#This Row],[Res Adj ]],-2)</f>
        <v>512600</v>
      </c>
      <c r="CX45">
        <f>ROUND(Sales[[#This Row],[25Det]]*Sales[[#This Row],[Det/Nbhd Adj]],-2)</f>
        <v>0</v>
      </c>
      <c r="CY45">
        <f>Sales[[#This Row],[Adjusted Res]]+Sales[[#This Row],[Adj Det ]]</f>
        <v>512600</v>
      </c>
      <c r="CZ45">
        <f>ROUND((Sales[[#This Row],[Mdl Land Intercept]]+Sales[[#This Row],[Mdl LnAcres]])*Sales[[#This Row],[Det/Nbhd Adj]],-2)</f>
        <v>46700</v>
      </c>
      <c r="DA45">
        <f>Sales[[#This Row],[Adjusted Impr Total]]+Sales[[#This Row],[Adjusted Land Total]]</f>
        <v>559300</v>
      </c>
      <c r="DB45">
        <f>IFERROR((Sales[[#This Row],[Adjusted Impr Total]]-Sales[[#This Row],[24Bldg]])/Sales[[#This Row],[24Bldg]],0)</f>
        <v>0.22807858169621467</v>
      </c>
      <c r="DC45">
        <f>(Sales[[#This Row],[Adjusted Land Total]]-Sales[[#This Row],[24Lnd]])/Sales[[#This Row],[24Lnd]]</f>
        <v>-0.39350649350649353</v>
      </c>
      <c r="DD45">
        <f>(Sales[[#This Row],[Adjusted Total]]-Sales[[#This Row],[24Final]])/Sales[[#This Row],[24Final]]</f>
        <v>0.13127022653721682</v>
      </c>
      <c r="DE45">
        <f>(Sales[[#This Row],[Adjusted Total]]+Sales[[#This Row],[Days Prior Total]])/Sales[[#This Row],[Price]]</f>
        <v>1.2548109104275535</v>
      </c>
    </row>
    <row r="46" spans="1:109" x14ac:dyDescent="0.3">
      <c r="A46">
        <v>2025</v>
      </c>
      <c r="B46">
        <v>18131634499</v>
      </c>
      <c r="C46">
        <v>-1.4271163556401458</v>
      </c>
      <c r="D46">
        <v>0.24</v>
      </c>
      <c r="E46">
        <v>10553</v>
      </c>
      <c r="F46">
        <v>5</v>
      </c>
      <c r="G46" t="s">
        <v>89</v>
      </c>
      <c r="H46" t="s">
        <v>302</v>
      </c>
      <c r="I46" t="s">
        <v>302</v>
      </c>
      <c r="J46" t="s">
        <v>26</v>
      </c>
      <c r="K46">
        <v>11</v>
      </c>
      <c r="L46">
        <v>259</v>
      </c>
      <c r="M46" t="s">
        <v>313</v>
      </c>
      <c r="N46" t="s">
        <v>50</v>
      </c>
      <c r="O46" t="s">
        <v>207</v>
      </c>
      <c r="P46">
        <v>2006</v>
      </c>
      <c r="Q46">
        <v>2006</v>
      </c>
      <c r="R46">
        <v>20</v>
      </c>
      <c r="S46">
        <v>18</v>
      </c>
      <c r="T46">
        <v>18</v>
      </c>
      <c r="U46">
        <v>2</v>
      </c>
      <c r="V46">
        <v>1686</v>
      </c>
      <c r="W46">
        <v>1352</v>
      </c>
      <c r="X46">
        <v>0</v>
      </c>
      <c r="Y46">
        <v>912</v>
      </c>
      <c r="Z46">
        <v>912</v>
      </c>
      <c r="AA46">
        <v>0</v>
      </c>
      <c r="AB46">
        <v>3950</v>
      </c>
      <c r="AC46">
        <v>4000</v>
      </c>
      <c r="AD46">
        <v>2</v>
      </c>
      <c r="AF46" t="s">
        <v>275</v>
      </c>
      <c r="AG46" t="s">
        <v>111</v>
      </c>
      <c r="AH46" t="s">
        <v>314</v>
      </c>
      <c r="AI46">
        <v>0</v>
      </c>
      <c r="AJ46">
        <v>0</v>
      </c>
      <c r="AK46">
        <v>2</v>
      </c>
      <c r="AL46">
        <v>1</v>
      </c>
      <c r="AM46">
        <v>0</v>
      </c>
      <c r="AN46">
        <v>15</v>
      </c>
      <c r="AO46">
        <v>760</v>
      </c>
      <c r="AP46">
        <v>0</v>
      </c>
      <c r="AQ46">
        <v>760</v>
      </c>
      <c r="AR46">
        <v>0</v>
      </c>
      <c r="AS46">
        <v>96</v>
      </c>
      <c r="AT46">
        <v>96</v>
      </c>
      <c r="AU46">
        <v>0</v>
      </c>
      <c r="AV46">
        <v>100</v>
      </c>
      <c r="AW46">
        <v>100</v>
      </c>
      <c r="AX46">
        <v>750751</v>
      </c>
      <c r="AY46">
        <v>720721</v>
      </c>
      <c r="AZ46">
        <v>94</v>
      </c>
      <c r="BA46">
        <v>94</v>
      </c>
      <c r="BB46">
        <v>0</v>
      </c>
      <c r="BC46">
        <v>0</v>
      </c>
      <c r="BD46" s="6">
        <v>45198</v>
      </c>
      <c r="BE46" t="s">
        <v>320</v>
      </c>
      <c r="BF46">
        <v>774900</v>
      </c>
      <c r="BG46">
        <v>774900</v>
      </c>
      <c r="BH46" t="s">
        <v>198</v>
      </c>
      <c r="BI46">
        <v>30</v>
      </c>
      <c r="BJ46" t="s">
        <v>51</v>
      </c>
      <c r="BK46" t="s">
        <v>314</v>
      </c>
      <c r="BL46">
        <v>566500</v>
      </c>
      <c r="BM46">
        <v>79500</v>
      </c>
      <c r="BN46">
        <v>487000</v>
      </c>
      <c r="BO46">
        <v>0</v>
      </c>
      <c r="BP46">
        <v>0.73106207252548716</v>
      </c>
      <c r="BQ46">
        <v>721473.42726372741</v>
      </c>
      <c r="BR46">
        <v>736340.65175962378</v>
      </c>
      <c r="BS46" s="7">
        <f>(BR46-BL46)/BL46</f>
        <v>0.29980697574514348</v>
      </c>
      <c r="BT46" s="14">
        <f>(Sales[[#This Row],[DP1]]*Lookups!$B$51)+(Sales[[#This Row],[DP2]]*Lookups!$B$52)+(Sales[[#This Row],[DP3]]*Lookups!$B$53)</f>
        <v>-14867.228000000001</v>
      </c>
      <c r="BU46" s="14">
        <f>Lookups!$B$48*0.5</f>
        <v>87214.824999999997</v>
      </c>
      <c r="BV46" s="14">
        <f>Lookups!$B$48*0.5</f>
        <v>87214.824999999997</v>
      </c>
      <c r="BW46" s="14">
        <f>Lookups!$B$49*Sales[[#This Row],[LnAcres]]</f>
        <v>-35717.648373042801</v>
      </c>
      <c r="BX46" s="14">
        <f>VLOOKUP(Sales[[#This Row],[Qlty]],Lookups!$A$54:$E$67,2,FALSE)</f>
        <v>46722.525125</v>
      </c>
      <c r="BY46" s="14">
        <f>VLOOKUP(Sales[[#This Row],[Cnd]],Lookups!$A$68:$E$76,2,FALSE)</f>
        <v>47273.897095</v>
      </c>
      <c r="BZ46" s="14">
        <f>Sales[[#This Row],[Age]]*Lookups!$B$77</f>
        <v>3321.2237399999999</v>
      </c>
      <c r="CA46" s="14">
        <f>Sales[[#This Row],[MainFn]]*Lookups!$B$78</f>
        <v>116474.71187400002</v>
      </c>
      <c r="CB46" s="14">
        <f>Sales[[#This Row],[UpprFn]]*Lookups!$B$79</f>
        <v>82721.0046</v>
      </c>
      <c r="CC46" s="14">
        <f>Sales[[#This Row],[AddFn]]*Lookups!$B$80</f>
        <v>0</v>
      </c>
      <c r="CD46" s="14">
        <f>Sales[[#This Row],[Bsmt]]*Lookups!$B$81</f>
        <v>26091.096095999997</v>
      </c>
      <c r="CE46" s="14">
        <f>Sales[[#This Row],[Fixtures]]*Lookups!$B$84</f>
        <v>152326.5</v>
      </c>
      <c r="CF46" s="14">
        <f>Sales[[#This Row],[MsnryFP]]*Lookups!$B$82</f>
        <v>0</v>
      </c>
      <c r="CG46" s="14">
        <f>Sales[[#This Row],[PrefabFP]]*Lookups!$B$83</f>
        <v>84182.043999999994</v>
      </c>
      <c r="CH46" s="14">
        <f>Sales[[#This Row],[GarageArea]]*Lookups!$B$85</f>
        <v>38515.657720000003</v>
      </c>
      <c r="CI46" s="14">
        <f>SUM(Sales[[#This Row],[Days Prior Total]:[Mdl GarageArea]])</f>
        <v>721473.43387695716</v>
      </c>
      <c r="CJ46" s="14">
        <f>ROUND(Sales[[#This Row],[25Det]],-2)</f>
        <v>0</v>
      </c>
      <c r="CK46" s="14">
        <f>ROUND(SUM(Sales[[#This Row],[Mdl Qlty]:[Mdl GarageArea]])+Sales[[#This Row],[Mdl Res Intercept]]+Sales[[#This Row],[Days Prior Total]],-2)</f>
        <v>670000</v>
      </c>
      <c r="CL46" s="14">
        <f>ROUND(Sales[[#This Row],[Mdl Land Intercept]]+Sales[[#This Row],[Mdl LnAcres]],-2)</f>
        <v>51500</v>
      </c>
      <c r="CM46" s="14">
        <f>Sales[[#This Row],[Unadj Res Value]]+Sales[[#This Row],[Unadj Det Value]]+Sales[[#This Row],[Unadj Land Value]]</f>
        <v>721500</v>
      </c>
      <c r="CN46" s="15">
        <f>Sales[[#This Row],[Unadj Total Value]]/Sales[[#This Row],[Price]]</f>
        <v>0.93108788230739448</v>
      </c>
      <c r="CO46" s="15">
        <f>(Sales[[#This Row],[Unadj Total Value]]-Sales[[#This Row],[24Final]])/Sales[[#This Row],[24Final]]</f>
        <v>0.27360988526037072</v>
      </c>
      <c r="CP46">
        <f>VLOOKUP(Sales[[#This Row],[TNbhd]],Lookups!$M$2:$P$4,4,FALSE)</f>
        <v>0.97570000000000001</v>
      </c>
      <c r="CQ46">
        <f>VLOOKUP(Sales[[#This Row],[Qlty]],Lookups!$M$6:$P$20,4,FALSE)</f>
        <v>0.98329999999999995</v>
      </c>
      <c r="CR46">
        <f>VLOOKUP(Sales[[#This Row],[Cnd]],Lookups!$R$6:$U$15,4,FALSE)</f>
        <v>0.97829999999999995</v>
      </c>
      <c r="CS46">
        <f>VLOOKUP(Sales[[#This Row],[LivArea Range]],Lookups!$R$23:$U$39,4,FALSE)</f>
        <v>1.034</v>
      </c>
      <c r="CT46">
        <f>VLOOKUP(Sales[[#This Row],[Decade]],Lookups!$M$23:$P$35,4,FALSE)</f>
        <v>0.97499999999999998</v>
      </c>
      <c r="CU46">
        <f>Sales[[#This Row],[Nbhd Adj]]*0.95</f>
        <v>0.92691499999999993</v>
      </c>
      <c r="CV46">
        <f>Sales[[#This Row],[Nbhd Adj]]*Sales[[#This Row],[Quality Adj]]*Sales[[#This Row],[Condition Adj]]*Sales[[#This Row],[Living Area Adj]]*Sales[[#This Row],[Decade Adj]]*0.95</f>
        <v>0.89892437628197375</v>
      </c>
      <c r="CW46">
        <f>ROUND(SUM(Sales[[#This Row],[Mdl Qlty]:[Mdl GarageArea]])+Sales[[#This Row],[Mdl Res Intercept]]*Sales[[#This Row],[Res Adj ]],-2)</f>
        <v>676000</v>
      </c>
      <c r="CX46">
        <f>ROUND(Sales[[#This Row],[25Det]]*Sales[[#This Row],[Det/Nbhd Adj]],-2)</f>
        <v>0</v>
      </c>
      <c r="CY46">
        <f>Sales[[#This Row],[Adjusted Res]]+Sales[[#This Row],[Adj Det ]]</f>
        <v>676000</v>
      </c>
      <c r="CZ46">
        <f>ROUND((Sales[[#This Row],[Mdl Land Intercept]]+Sales[[#This Row],[Mdl LnAcres]])*Sales[[#This Row],[Det/Nbhd Adj]],-2)</f>
        <v>47700</v>
      </c>
      <c r="DA46">
        <f>Sales[[#This Row],[Adjusted Impr Total]]+Sales[[#This Row],[Adjusted Land Total]]</f>
        <v>723700</v>
      </c>
      <c r="DB46">
        <f>IFERROR((Sales[[#This Row],[Adjusted Impr Total]]-Sales[[#This Row],[24Bldg]])/Sales[[#This Row],[24Bldg]],0)</f>
        <v>0.38809034907597534</v>
      </c>
      <c r="DC46">
        <f>(Sales[[#This Row],[Adjusted Land Total]]-Sales[[#This Row],[24Lnd]])/Sales[[#This Row],[24Lnd]]</f>
        <v>-0.4</v>
      </c>
      <c r="DD46">
        <f>(Sales[[#This Row],[Adjusted Total]]-Sales[[#This Row],[24Final]])/Sales[[#This Row],[24Final]]</f>
        <v>0.27749338040600174</v>
      </c>
      <c r="DE46">
        <f>(Sales[[#This Row],[Adjusted Total]]+Sales[[#This Row],[Days Prior Total]])/Sales[[#This Row],[Price]]</f>
        <v>0.91474096270486516</v>
      </c>
    </row>
    <row r="47" spans="1:109" x14ac:dyDescent="0.3">
      <c r="A47">
        <v>2025</v>
      </c>
      <c r="B47">
        <v>18131741414</v>
      </c>
      <c r="C47">
        <v>-0.61618613942381695</v>
      </c>
      <c r="D47">
        <v>0.54</v>
      </c>
      <c r="E47">
        <v>23691</v>
      </c>
      <c r="F47">
        <v>1</v>
      </c>
      <c r="G47" t="s">
        <v>89</v>
      </c>
      <c r="H47" t="s">
        <v>302</v>
      </c>
      <c r="I47" t="s">
        <v>302</v>
      </c>
      <c r="J47" t="s">
        <v>110</v>
      </c>
      <c r="K47">
        <v>11</v>
      </c>
      <c r="L47">
        <v>331</v>
      </c>
      <c r="M47" t="s">
        <v>313</v>
      </c>
      <c r="N47" t="s">
        <v>230</v>
      </c>
      <c r="O47" t="s">
        <v>258</v>
      </c>
      <c r="P47">
        <v>2006</v>
      </c>
      <c r="Q47">
        <v>2006</v>
      </c>
      <c r="R47">
        <v>20</v>
      </c>
      <c r="S47">
        <v>18</v>
      </c>
      <c r="T47">
        <v>18</v>
      </c>
      <c r="U47">
        <v>1</v>
      </c>
      <c r="V47">
        <v>3838</v>
      </c>
      <c r="W47">
        <v>0</v>
      </c>
      <c r="X47">
        <v>0</v>
      </c>
      <c r="Y47">
        <v>0</v>
      </c>
      <c r="Z47">
        <v>0</v>
      </c>
      <c r="AA47">
        <v>0</v>
      </c>
      <c r="AB47">
        <v>3838</v>
      </c>
      <c r="AC47">
        <v>4000</v>
      </c>
      <c r="AD47">
        <v>3</v>
      </c>
      <c r="AE47" t="s">
        <v>132</v>
      </c>
      <c r="AF47" t="s">
        <v>275</v>
      </c>
      <c r="AG47" t="s">
        <v>111</v>
      </c>
      <c r="AH47" t="s">
        <v>314</v>
      </c>
      <c r="AI47">
        <v>0</v>
      </c>
      <c r="AJ47">
        <v>1</v>
      </c>
      <c r="AK47">
        <v>0</v>
      </c>
      <c r="AL47">
        <v>0</v>
      </c>
      <c r="AM47">
        <v>1</v>
      </c>
      <c r="AN47">
        <v>18</v>
      </c>
      <c r="AO47">
        <v>954</v>
      </c>
      <c r="AP47">
        <v>0</v>
      </c>
      <c r="AQ47">
        <v>954</v>
      </c>
      <c r="AR47">
        <v>0</v>
      </c>
      <c r="AS47">
        <v>96</v>
      </c>
      <c r="AT47">
        <v>0</v>
      </c>
      <c r="AU47">
        <v>0</v>
      </c>
      <c r="AV47">
        <v>100</v>
      </c>
      <c r="AW47">
        <v>100</v>
      </c>
      <c r="AX47">
        <v>1572793</v>
      </c>
      <c r="AY47">
        <v>1509881</v>
      </c>
      <c r="AZ47">
        <v>129</v>
      </c>
      <c r="BA47">
        <v>129</v>
      </c>
      <c r="BB47">
        <v>0</v>
      </c>
      <c r="BC47">
        <v>0</v>
      </c>
      <c r="BD47" s="6">
        <v>45163</v>
      </c>
      <c r="BE47" t="s">
        <v>327</v>
      </c>
      <c r="BF47">
        <v>1425000</v>
      </c>
      <c r="BG47">
        <v>1330994</v>
      </c>
      <c r="BH47" t="s">
        <v>198</v>
      </c>
      <c r="BI47">
        <v>30</v>
      </c>
      <c r="BJ47" t="s">
        <v>51</v>
      </c>
      <c r="BK47" t="s">
        <v>314</v>
      </c>
      <c r="BL47">
        <v>893600</v>
      </c>
      <c r="BM47">
        <v>125500</v>
      </c>
      <c r="BN47">
        <v>768100</v>
      </c>
      <c r="BO47">
        <v>94006</v>
      </c>
      <c r="BP47">
        <v>0.62708771929824558</v>
      </c>
      <c r="BQ47">
        <v>1289280.3173302484</v>
      </c>
      <c r="BR47">
        <v>1309683.2105214254</v>
      </c>
      <c r="BS47" s="7">
        <f>(BR47-BL47)/BL47</f>
        <v>0.4656257951224545</v>
      </c>
      <c r="BT47" s="14">
        <f>(Sales[[#This Row],[DP1]]*Lookups!$B$51)+(Sales[[#This Row],[DP2]]*Lookups!$B$52)+(Sales[[#This Row],[DP3]]*Lookups!$B$53)</f>
        <v>-20402.898000000001</v>
      </c>
      <c r="BU47" s="14">
        <f>Lookups!$B$48*0.5</f>
        <v>87214.824999999997</v>
      </c>
      <c r="BV47" s="14">
        <f>Lookups!$B$48*0.5</f>
        <v>87214.824999999997</v>
      </c>
      <c r="BW47" s="14">
        <f>Lookups!$B$49*Sales[[#This Row],[LnAcres]]</f>
        <v>-15421.81180483382</v>
      </c>
      <c r="BX47" s="14">
        <f>VLOOKUP(Sales[[#This Row],[Qlty]],Lookups!$A$54:$E$67,2,FALSE)</f>
        <v>519241.74659</v>
      </c>
      <c r="BY47" s="14">
        <f>VLOOKUP(Sales[[#This Row],[Cnd]],Lookups!$A$68:$E$76,2,FALSE)</f>
        <v>106557.38887</v>
      </c>
      <c r="BZ47" s="14">
        <f>Sales[[#This Row],[Age]]*Lookups!$B$77</f>
        <v>3321.2237399999999</v>
      </c>
      <c r="CA47" s="14">
        <f>Sales[[#This Row],[MainFn]]*Lookups!$B$78</f>
        <v>265142.315642</v>
      </c>
      <c r="CB47" s="14">
        <f>Sales[[#This Row],[UpprFn]]*Lookups!$B$79</f>
        <v>0</v>
      </c>
      <c r="CC47" s="14">
        <f>Sales[[#This Row],[AddFn]]*Lookups!$B$80</f>
        <v>0</v>
      </c>
      <c r="CD47" s="14">
        <f>Sales[[#This Row],[Bsmt]]*Lookups!$B$81</f>
        <v>0</v>
      </c>
      <c r="CE47" s="14">
        <f>Sales[[#This Row],[Fixtures]]*Lookups!$B$84</f>
        <v>182791.80000000002</v>
      </c>
      <c r="CF47" s="14">
        <f>Sales[[#This Row],[MsnryFP]]*Lookups!$B$82</f>
        <v>25273.623</v>
      </c>
      <c r="CG47" s="14">
        <f>Sales[[#This Row],[PrefabFP]]*Lookups!$B$83</f>
        <v>0</v>
      </c>
      <c r="CH47" s="14">
        <f>Sales[[#This Row],[GarageArea]]*Lookups!$B$85</f>
        <v>48347.286138000003</v>
      </c>
      <c r="CI47" s="14">
        <f>SUM(Sales[[#This Row],[Days Prior Total]:[Mdl GarageArea]])</f>
        <v>1289280.3241751662</v>
      </c>
      <c r="CJ47" s="14">
        <f>ROUND(Sales[[#This Row],[25Det]],-2)</f>
        <v>94000</v>
      </c>
      <c r="CK47" s="14">
        <f>ROUND(SUM(Sales[[#This Row],[Mdl Qlty]:[Mdl GarageArea]])+Sales[[#This Row],[Mdl Res Intercept]]+Sales[[#This Row],[Days Prior Total]],-2)</f>
        <v>1217500</v>
      </c>
      <c r="CL47" s="14">
        <f>ROUND(Sales[[#This Row],[Mdl Land Intercept]]+Sales[[#This Row],[Mdl LnAcres]],-2)</f>
        <v>71800</v>
      </c>
      <c r="CM47" s="14">
        <f>Sales[[#This Row],[Unadj Res Value]]+Sales[[#This Row],[Unadj Det Value]]+Sales[[#This Row],[Unadj Land Value]]</f>
        <v>1383300</v>
      </c>
      <c r="CN47" s="15">
        <f>Sales[[#This Row],[Unadj Total Value]]/Sales[[#This Row],[Price]]</f>
        <v>0.97073684210526312</v>
      </c>
      <c r="CO47" s="15">
        <f>(Sales[[#This Row],[Unadj Total Value]]-Sales[[#This Row],[24Final]])/Sales[[#This Row],[24Final]]</f>
        <v>0.54800805729632951</v>
      </c>
      <c r="CP47">
        <f>VLOOKUP(Sales[[#This Row],[TNbhd]],Lookups!$M$2:$P$4,4,FALSE)</f>
        <v>0.97570000000000001</v>
      </c>
      <c r="CQ47">
        <f>VLOOKUP(Sales[[#This Row],[Qlty]],Lookups!$M$6:$P$20,4,FALSE)</f>
        <v>0.99960000000000004</v>
      </c>
      <c r="CR47">
        <f>VLOOKUP(Sales[[#This Row],[Cnd]],Lookups!$R$6:$U$15,4,FALSE)</f>
        <v>0.9748</v>
      </c>
      <c r="CS47">
        <f>VLOOKUP(Sales[[#This Row],[LivArea Range]],Lookups!$R$23:$U$39,4,FALSE)</f>
        <v>1.034</v>
      </c>
      <c r="CT47">
        <f>VLOOKUP(Sales[[#This Row],[Decade]],Lookups!$M$23:$P$35,4,FALSE)</f>
        <v>0.97499999999999998</v>
      </c>
      <c r="CU47">
        <f>Sales[[#This Row],[Nbhd Adj]]*0.95</f>
        <v>0.92691499999999993</v>
      </c>
      <c r="CV47">
        <f>Sales[[#This Row],[Nbhd Adj]]*Sales[[#This Row],[Quality Adj]]*Sales[[#This Row],[Condition Adj]]*Sales[[#This Row],[Living Area Adj]]*Sales[[#This Row],[Decade Adj]]*0.95</f>
        <v>0.91055636115552119</v>
      </c>
      <c r="CW47">
        <f>ROUND(SUM(Sales[[#This Row],[Mdl Qlty]:[Mdl GarageArea]])+Sales[[#This Row],[Mdl Res Intercept]]*Sales[[#This Row],[Res Adj ]],-2)</f>
        <v>1230100</v>
      </c>
      <c r="CX47">
        <f>ROUND(Sales[[#This Row],[25Det]]*Sales[[#This Row],[Det/Nbhd Adj]],-2)</f>
        <v>87100</v>
      </c>
      <c r="CY47">
        <f>Sales[[#This Row],[Adjusted Res]]+Sales[[#This Row],[Adj Det ]]</f>
        <v>1317200</v>
      </c>
      <c r="CZ47">
        <f>ROUND((Sales[[#This Row],[Mdl Land Intercept]]+Sales[[#This Row],[Mdl LnAcres]])*Sales[[#This Row],[Det/Nbhd Adj]],-2)</f>
        <v>66500</v>
      </c>
      <c r="DA47">
        <f>Sales[[#This Row],[Adjusted Impr Total]]+Sales[[#This Row],[Adjusted Land Total]]</f>
        <v>1383700</v>
      </c>
      <c r="DB47">
        <f>IFERROR((Sales[[#This Row],[Adjusted Impr Total]]-Sales[[#This Row],[24Bldg]])/Sales[[#This Row],[24Bldg]],0)</f>
        <v>0.71488087488608254</v>
      </c>
      <c r="DC47">
        <f>(Sales[[#This Row],[Adjusted Land Total]]-Sales[[#This Row],[24Lnd]])/Sales[[#This Row],[24Lnd]]</f>
        <v>-0.47011952191235062</v>
      </c>
      <c r="DD47">
        <f>(Sales[[#This Row],[Adjusted Total]]-Sales[[#This Row],[24Final]])/Sales[[#This Row],[24Final]]</f>
        <v>0.54845568487018803</v>
      </c>
      <c r="DE47">
        <f>(Sales[[#This Row],[Adjusted Total]]+Sales[[#This Row],[Days Prior Total]])/Sales[[#This Row],[Price]]</f>
        <v>0.95669972070175435</v>
      </c>
    </row>
    <row r="48" spans="1:109" x14ac:dyDescent="0.3">
      <c r="A48">
        <v>2025</v>
      </c>
      <c r="B48">
        <v>18131533492</v>
      </c>
      <c r="C48">
        <v>-1.7719568419318752</v>
      </c>
      <c r="D48">
        <v>0.17</v>
      </c>
      <c r="E48">
        <v>7576</v>
      </c>
      <c r="F48">
        <v>5</v>
      </c>
      <c r="G48" t="s">
        <v>89</v>
      </c>
      <c r="H48" t="s">
        <v>302</v>
      </c>
      <c r="I48" t="s">
        <v>302</v>
      </c>
      <c r="J48" t="s">
        <v>26</v>
      </c>
      <c r="K48">
        <v>11</v>
      </c>
      <c r="L48">
        <v>259</v>
      </c>
      <c r="M48" t="s">
        <v>172</v>
      </c>
      <c r="N48" t="s">
        <v>111</v>
      </c>
      <c r="O48" t="s">
        <v>207</v>
      </c>
      <c r="P48">
        <v>2005</v>
      </c>
      <c r="Q48">
        <v>2005</v>
      </c>
      <c r="R48">
        <v>20</v>
      </c>
      <c r="S48">
        <v>19</v>
      </c>
      <c r="T48">
        <v>19</v>
      </c>
      <c r="U48">
        <v>1</v>
      </c>
      <c r="V48">
        <v>1919</v>
      </c>
      <c r="W48">
        <v>0</v>
      </c>
      <c r="X48">
        <v>0</v>
      </c>
      <c r="Y48">
        <v>0</v>
      </c>
      <c r="Z48">
        <v>0</v>
      </c>
      <c r="AA48">
        <v>0</v>
      </c>
      <c r="AB48">
        <v>1919</v>
      </c>
      <c r="AC48">
        <v>2000</v>
      </c>
      <c r="AD48">
        <v>2</v>
      </c>
      <c r="AE48" t="s">
        <v>132</v>
      </c>
      <c r="AF48" t="s">
        <v>275</v>
      </c>
      <c r="AG48" t="s">
        <v>111</v>
      </c>
      <c r="AH48" t="s">
        <v>314</v>
      </c>
      <c r="AI48">
        <v>0</v>
      </c>
      <c r="AJ48">
        <v>0</v>
      </c>
      <c r="AK48">
        <v>0</v>
      </c>
      <c r="AL48">
        <v>1</v>
      </c>
      <c r="AM48">
        <v>0</v>
      </c>
      <c r="AN48">
        <v>10</v>
      </c>
      <c r="AO48">
        <v>594</v>
      </c>
      <c r="AP48">
        <v>0</v>
      </c>
      <c r="AQ48">
        <v>594</v>
      </c>
      <c r="AR48">
        <v>0</v>
      </c>
      <c r="AS48">
        <v>0</v>
      </c>
      <c r="AT48">
        <v>0</v>
      </c>
      <c r="AU48">
        <v>0</v>
      </c>
      <c r="AV48">
        <v>100</v>
      </c>
      <c r="AW48">
        <v>100</v>
      </c>
      <c r="AX48">
        <v>385901</v>
      </c>
      <c r="AY48">
        <v>358888</v>
      </c>
      <c r="AZ48">
        <v>96</v>
      </c>
      <c r="BA48">
        <v>96</v>
      </c>
      <c r="BB48">
        <v>0</v>
      </c>
      <c r="BC48">
        <v>0</v>
      </c>
      <c r="BD48" s="6">
        <v>45196</v>
      </c>
      <c r="BE48" t="s">
        <v>179</v>
      </c>
      <c r="BF48">
        <v>439000</v>
      </c>
      <c r="BG48">
        <v>439000</v>
      </c>
      <c r="BH48" t="s">
        <v>198</v>
      </c>
      <c r="BI48">
        <v>30</v>
      </c>
      <c r="BJ48" t="s">
        <v>51</v>
      </c>
      <c r="BK48" t="s">
        <v>314</v>
      </c>
      <c r="BL48">
        <v>395000</v>
      </c>
      <c r="BM48">
        <v>59900</v>
      </c>
      <c r="BN48">
        <v>335100</v>
      </c>
      <c r="BO48">
        <v>0</v>
      </c>
      <c r="BP48">
        <v>0.89977220956719817</v>
      </c>
      <c r="BQ48">
        <v>415572.95412560372</v>
      </c>
      <c r="BR48">
        <v>430756.50254694466</v>
      </c>
      <c r="BS48" s="7">
        <f>(BR48-BL48)/BL48</f>
        <v>9.0522791258087737E-2</v>
      </c>
      <c r="BT48" s="14">
        <f>(Sales[[#This Row],[DP1]]*Lookups!$B$51)+(Sales[[#This Row],[DP2]]*Lookups!$B$52)+(Sales[[#This Row],[DP3]]*Lookups!$B$53)</f>
        <v>-15183.552</v>
      </c>
      <c r="BU48" s="14">
        <f>Lookups!$B$48*0.5</f>
        <v>87214.824999999997</v>
      </c>
      <c r="BV48" s="14">
        <f>Lookups!$B$48*0.5</f>
        <v>87214.824999999997</v>
      </c>
      <c r="BW48" s="14">
        <f>Lookups!$B$49*Sales[[#This Row],[LnAcres]]</f>
        <v>-44348.26295851732</v>
      </c>
      <c r="BX48" s="14">
        <f>VLOOKUP(Sales[[#This Row],[Qlty]],Lookups!$A$54:$E$67,2,FALSE)</f>
        <v>-14329.694740000001</v>
      </c>
      <c r="BY48" s="14">
        <f>VLOOKUP(Sales[[#This Row],[Cnd]],Lookups!$A$68:$E$76,2,FALSE)</f>
        <v>47273.897095</v>
      </c>
      <c r="BZ48" s="14">
        <f>Sales[[#This Row],[Age]]*Lookups!$B$77</f>
        <v>3505.7361700000001</v>
      </c>
      <c r="CA48" s="14">
        <f>Sales[[#This Row],[MainFn]]*Lookups!$B$78</f>
        <v>132571.157821</v>
      </c>
      <c r="CB48" s="14">
        <f>Sales[[#This Row],[UpprFn]]*Lookups!$B$79</f>
        <v>0</v>
      </c>
      <c r="CC48" s="14">
        <f>Sales[[#This Row],[AddFn]]*Lookups!$B$80</f>
        <v>0</v>
      </c>
      <c r="CD48" s="14">
        <f>Sales[[#This Row],[Bsmt]]*Lookups!$B$81</f>
        <v>0</v>
      </c>
      <c r="CE48" s="14">
        <f>Sales[[#This Row],[Fixtures]]*Lookups!$B$84</f>
        <v>101551</v>
      </c>
      <c r="CF48" s="14">
        <f>Sales[[#This Row],[MsnryFP]]*Lookups!$B$82</f>
        <v>0</v>
      </c>
      <c r="CG48" s="14">
        <f>Sales[[#This Row],[PrefabFP]]*Lookups!$B$83</f>
        <v>0</v>
      </c>
      <c r="CH48" s="14">
        <f>Sales[[#This Row],[GarageArea]]*Lookups!$B$85</f>
        <v>30103.027217999999</v>
      </c>
      <c r="CI48" s="14">
        <f>SUM(Sales[[#This Row],[Days Prior Total]:[Mdl GarageArea]])</f>
        <v>415572.95860548265</v>
      </c>
      <c r="CJ48" s="14">
        <f>ROUND(Sales[[#This Row],[25Det]],-2)</f>
        <v>0</v>
      </c>
      <c r="CK48" s="14">
        <f>ROUND(SUM(Sales[[#This Row],[Mdl Qlty]:[Mdl GarageArea]])+Sales[[#This Row],[Mdl Res Intercept]]+Sales[[#This Row],[Days Prior Total]],-2)</f>
        <v>372700</v>
      </c>
      <c r="CL48" s="14">
        <f>ROUND(Sales[[#This Row],[Mdl Land Intercept]]+Sales[[#This Row],[Mdl LnAcres]],-2)</f>
        <v>42900</v>
      </c>
      <c r="CM48" s="14">
        <f>Sales[[#This Row],[Unadj Res Value]]+Sales[[#This Row],[Unadj Det Value]]+Sales[[#This Row],[Unadj Land Value]]</f>
        <v>415600</v>
      </c>
      <c r="CN48" s="15">
        <f>Sales[[#This Row],[Unadj Total Value]]/Sales[[#This Row],[Price]]</f>
        <v>0.94669703872437361</v>
      </c>
      <c r="CO48" s="15">
        <f>(Sales[[#This Row],[Unadj Total Value]]-Sales[[#This Row],[24Final]])/Sales[[#This Row],[24Final]]</f>
        <v>5.2151898734177214E-2</v>
      </c>
      <c r="CP48">
        <f>VLOOKUP(Sales[[#This Row],[TNbhd]],Lookups!$M$2:$P$4,4,FALSE)</f>
        <v>0.97570000000000001</v>
      </c>
      <c r="CQ48">
        <f>VLOOKUP(Sales[[#This Row],[Qlty]],Lookups!$M$6:$P$20,4,FALSE)</f>
        <v>0.98809999999999998</v>
      </c>
      <c r="CR48">
        <f>VLOOKUP(Sales[[#This Row],[Cnd]],Lookups!$R$6:$U$15,4,FALSE)</f>
        <v>0.97829999999999995</v>
      </c>
      <c r="CS48">
        <f>VLOOKUP(Sales[[#This Row],[LivArea Range]],Lookups!$R$23:$U$39,4,FALSE)</f>
        <v>0.99099999999999999</v>
      </c>
      <c r="CT48">
        <f>VLOOKUP(Sales[[#This Row],[Decade]],Lookups!$M$23:$P$35,4,FALSE)</f>
        <v>0.97499999999999998</v>
      </c>
      <c r="CU48">
        <f>Sales[[#This Row],[Nbhd Adj]]*0.95</f>
        <v>0.92691499999999993</v>
      </c>
      <c r="CV48">
        <f>Sales[[#This Row],[Nbhd Adj]]*Sales[[#This Row],[Quality Adj]]*Sales[[#This Row],[Condition Adj]]*Sales[[#This Row],[Living Area Adj]]*Sales[[#This Row],[Decade Adj]]*0.95</f>
        <v>0.8657472750625782</v>
      </c>
      <c r="CW48">
        <f>ROUND(SUM(Sales[[#This Row],[Mdl Qlty]:[Mdl GarageArea]])+Sales[[#This Row],[Mdl Res Intercept]]*Sales[[#This Row],[Res Adj ]],-2)</f>
        <v>376200</v>
      </c>
      <c r="CX48">
        <f>ROUND(Sales[[#This Row],[25Det]]*Sales[[#This Row],[Det/Nbhd Adj]],-2)</f>
        <v>0</v>
      </c>
      <c r="CY48">
        <f>Sales[[#This Row],[Adjusted Res]]+Sales[[#This Row],[Adj Det ]]</f>
        <v>376200</v>
      </c>
      <c r="CZ48">
        <f>ROUND((Sales[[#This Row],[Mdl Land Intercept]]+Sales[[#This Row],[Mdl LnAcres]])*Sales[[#This Row],[Det/Nbhd Adj]],-2)</f>
        <v>39700</v>
      </c>
      <c r="DA48">
        <f>Sales[[#This Row],[Adjusted Impr Total]]+Sales[[#This Row],[Adjusted Land Total]]</f>
        <v>415900</v>
      </c>
      <c r="DB48">
        <f>IFERROR((Sales[[#This Row],[Adjusted Impr Total]]-Sales[[#This Row],[24Bldg]])/Sales[[#This Row],[24Bldg]],0)</f>
        <v>0.12264995523724262</v>
      </c>
      <c r="DC48">
        <f>(Sales[[#This Row],[Adjusted Land Total]]-Sales[[#This Row],[24Lnd]])/Sales[[#This Row],[24Lnd]]</f>
        <v>-0.337228714524207</v>
      </c>
      <c r="DD48">
        <f>(Sales[[#This Row],[Adjusted Total]]-Sales[[#This Row],[24Final]])/Sales[[#This Row],[24Final]]</f>
        <v>5.291139240506329E-2</v>
      </c>
      <c r="DE48">
        <f>(Sales[[#This Row],[Adjusted Total]]+Sales[[#This Row],[Days Prior Total]])/Sales[[#This Row],[Price]]</f>
        <v>0.91279373120728924</v>
      </c>
    </row>
    <row r="49" spans="1:109" x14ac:dyDescent="0.3">
      <c r="A49">
        <v>2025</v>
      </c>
      <c r="B49">
        <v>18131533495</v>
      </c>
      <c r="C49">
        <v>-1.8325814637483102</v>
      </c>
      <c r="D49">
        <v>0.16</v>
      </c>
      <c r="E49">
        <v>7074</v>
      </c>
      <c r="F49">
        <v>5</v>
      </c>
      <c r="G49" t="s">
        <v>89</v>
      </c>
      <c r="H49">
        <v>3042</v>
      </c>
      <c r="I49" t="s">
        <v>302</v>
      </c>
      <c r="J49" t="s">
        <v>26</v>
      </c>
      <c r="K49">
        <v>11</v>
      </c>
      <c r="L49">
        <v>259</v>
      </c>
      <c r="M49" t="s">
        <v>172</v>
      </c>
      <c r="N49" t="s">
        <v>111</v>
      </c>
      <c r="O49" t="s">
        <v>207</v>
      </c>
      <c r="P49">
        <v>2004</v>
      </c>
      <c r="Q49">
        <v>2004</v>
      </c>
      <c r="R49">
        <v>20</v>
      </c>
      <c r="S49">
        <v>20</v>
      </c>
      <c r="T49">
        <v>20</v>
      </c>
      <c r="U49">
        <v>1</v>
      </c>
      <c r="V49">
        <v>1873</v>
      </c>
      <c r="W49">
        <v>0</v>
      </c>
      <c r="X49">
        <v>0</v>
      </c>
      <c r="Y49">
        <v>0</v>
      </c>
      <c r="Z49">
        <v>0</v>
      </c>
      <c r="AA49">
        <v>0</v>
      </c>
      <c r="AB49">
        <v>1873</v>
      </c>
      <c r="AC49">
        <v>2000</v>
      </c>
      <c r="AD49">
        <v>2</v>
      </c>
      <c r="AE49" t="s">
        <v>132</v>
      </c>
      <c r="AF49" t="s">
        <v>275</v>
      </c>
      <c r="AG49" t="s">
        <v>111</v>
      </c>
      <c r="AH49" t="s">
        <v>314</v>
      </c>
      <c r="AI49">
        <v>0</v>
      </c>
      <c r="AJ49">
        <v>0</v>
      </c>
      <c r="AK49">
        <v>0</v>
      </c>
      <c r="AL49">
        <v>1</v>
      </c>
      <c r="AM49">
        <v>0</v>
      </c>
      <c r="AN49">
        <v>10</v>
      </c>
      <c r="AO49">
        <v>561</v>
      </c>
      <c r="AP49">
        <v>0</v>
      </c>
      <c r="AQ49">
        <v>561</v>
      </c>
      <c r="AR49">
        <v>0</v>
      </c>
      <c r="AS49">
        <v>0</v>
      </c>
      <c r="AT49">
        <v>230</v>
      </c>
      <c r="AU49">
        <v>0</v>
      </c>
      <c r="AV49">
        <v>100</v>
      </c>
      <c r="AW49">
        <v>100</v>
      </c>
      <c r="AX49">
        <v>378315</v>
      </c>
      <c r="AY49">
        <v>351833</v>
      </c>
      <c r="AZ49">
        <v>929</v>
      </c>
      <c r="BA49">
        <v>365</v>
      </c>
      <c r="BB49">
        <v>365</v>
      </c>
      <c r="BC49">
        <v>199</v>
      </c>
      <c r="BD49" s="6">
        <v>44363</v>
      </c>
      <c r="BE49" t="s">
        <v>288</v>
      </c>
      <c r="BF49">
        <v>425000</v>
      </c>
      <c r="BG49">
        <v>425000</v>
      </c>
      <c r="BH49" t="s">
        <v>198</v>
      </c>
      <c r="BI49">
        <v>30</v>
      </c>
      <c r="BJ49" t="s">
        <v>51</v>
      </c>
      <c r="BK49" t="s">
        <v>314</v>
      </c>
      <c r="BL49">
        <v>387800</v>
      </c>
      <c r="BM49">
        <v>56400</v>
      </c>
      <c r="BN49">
        <v>331400</v>
      </c>
      <c r="BO49">
        <v>0</v>
      </c>
      <c r="BP49">
        <v>0.91247058823529414</v>
      </c>
      <c r="BQ49">
        <v>340163.50099314965</v>
      </c>
      <c r="BR49">
        <v>424573.48175515071</v>
      </c>
      <c r="BS49" s="7">
        <f>(BR49-BL49)/BL49</f>
        <v>9.4825894159749138E-2</v>
      </c>
      <c r="BT49" s="14">
        <f>(Sales[[#This Row],[DP1]]*Lookups!$B$51)+(Sales[[#This Row],[DP2]]*Lookups!$B$52)+(Sales[[#This Row],[DP3]]*Lookups!$B$53)</f>
        <v>-84409.984710000004</v>
      </c>
      <c r="BU49" s="14">
        <f>Lookups!$B$48*0.5</f>
        <v>87214.824999999997</v>
      </c>
      <c r="BV49" s="14">
        <f>Lookups!$B$48*0.5</f>
        <v>87214.824999999997</v>
      </c>
      <c r="BW49" s="14">
        <f>Lookups!$B$49*Sales[[#This Row],[LnAcres]]</f>
        <v>-45865.56665714729</v>
      </c>
      <c r="BX49" s="14">
        <f>VLOOKUP(Sales[[#This Row],[Qlty]],Lookups!$A$54:$E$67,2,FALSE)</f>
        <v>-14329.694740000001</v>
      </c>
      <c r="BY49" s="14">
        <f>VLOOKUP(Sales[[#This Row],[Cnd]],Lookups!$A$68:$E$76,2,FALSE)</f>
        <v>47273.897095</v>
      </c>
      <c r="BZ49" s="14">
        <f>Sales[[#This Row],[Age]]*Lookups!$B$77</f>
        <v>3690.2485999999999</v>
      </c>
      <c r="CA49" s="14">
        <f>Sales[[#This Row],[MainFn]]*Lookups!$B$78</f>
        <v>129393.31870700001</v>
      </c>
      <c r="CB49" s="14">
        <f>Sales[[#This Row],[UpprFn]]*Lookups!$B$79</f>
        <v>0</v>
      </c>
      <c r="CC49" s="14">
        <f>Sales[[#This Row],[AddFn]]*Lookups!$B$80</f>
        <v>0</v>
      </c>
      <c r="CD49" s="14">
        <f>Sales[[#This Row],[Bsmt]]*Lookups!$B$81</f>
        <v>0</v>
      </c>
      <c r="CE49" s="14">
        <f>Sales[[#This Row],[Fixtures]]*Lookups!$B$84</f>
        <v>101551</v>
      </c>
      <c r="CF49" s="14">
        <f>Sales[[#This Row],[MsnryFP]]*Lookups!$B$82</f>
        <v>0</v>
      </c>
      <c r="CG49" s="14">
        <f>Sales[[#This Row],[PrefabFP]]*Lookups!$B$83</f>
        <v>0</v>
      </c>
      <c r="CH49" s="14">
        <f>Sales[[#This Row],[GarageArea]]*Lookups!$B$85</f>
        <v>28430.636816999999</v>
      </c>
      <c r="CI49" s="14">
        <f>SUM(Sales[[#This Row],[Days Prior Total]:[Mdl GarageArea]])</f>
        <v>340163.50511185272</v>
      </c>
      <c r="CJ49" s="14">
        <f>ROUND(Sales[[#This Row],[25Det]],-2)</f>
        <v>0</v>
      </c>
      <c r="CK49" s="14">
        <f>ROUND(SUM(Sales[[#This Row],[Mdl Qlty]:[Mdl GarageArea]])+Sales[[#This Row],[Mdl Res Intercept]]+Sales[[#This Row],[Days Prior Total]],-2)</f>
        <v>298800</v>
      </c>
      <c r="CL49" s="14">
        <f>ROUND(Sales[[#This Row],[Mdl Land Intercept]]+Sales[[#This Row],[Mdl LnAcres]],-2)</f>
        <v>41300</v>
      </c>
      <c r="CM49" s="14">
        <f>Sales[[#This Row],[Unadj Res Value]]+Sales[[#This Row],[Unadj Det Value]]+Sales[[#This Row],[Unadj Land Value]]</f>
        <v>340100</v>
      </c>
      <c r="CN49" s="15">
        <f>Sales[[#This Row],[Unadj Total Value]]/Sales[[#This Row],[Price]]</f>
        <v>0.80023529411764704</v>
      </c>
      <c r="CO49" s="15">
        <f>(Sales[[#This Row],[Unadj Total Value]]-Sales[[#This Row],[24Final]])/Sales[[#This Row],[24Final]]</f>
        <v>-0.12300154718927282</v>
      </c>
      <c r="CP49">
        <f>VLOOKUP(Sales[[#This Row],[TNbhd]],Lookups!$M$2:$P$4,4,FALSE)</f>
        <v>0.97570000000000001</v>
      </c>
      <c r="CQ49">
        <f>VLOOKUP(Sales[[#This Row],[Qlty]],Lookups!$M$6:$P$20,4,FALSE)</f>
        <v>0.98809999999999998</v>
      </c>
      <c r="CR49">
        <f>VLOOKUP(Sales[[#This Row],[Cnd]],Lookups!$R$6:$U$15,4,FALSE)</f>
        <v>0.97829999999999995</v>
      </c>
      <c r="CS49">
        <f>VLOOKUP(Sales[[#This Row],[LivArea Range]],Lookups!$R$23:$U$39,4,FALSE)</f>
        <v>0.99099999999999999</v>
      </c>
      <c r="CT49">
        <f>VLOOKUP(Sales[[#This Row],[Decade]],Lookups!$M$23:$P$35,4,FALSE)</f>
        <v>0.97499999999999998</v>
      </c>
      <c r="CU49">
        <f>Sales[[#This Row],[Nbhd Adj]]*0.95</f>
        <v>0.92691499999999993</v>
      </c>
      <c r="CV49">
        <f>Sales[[#This Row],[Nbhd Adj]]*Sales[[#This Row],[Quality Adj]]*Sales[[#This Row],[Condition Adj]]*Sales[[#This Row],[Living Area Adj]]*Sales[[#This Row],[Decade Adj]]*0.95</f>
        <v>0.8657472750625782</v>
      </c>
      <c r="CW49">
        <f>ROUND(SUM(Sales[[#This Row],[Mdl Qlty]:[Mdl GarageArea]])+Sales[[#This Row],[Mdl Res Intercept]]*Sales[[#This Row],[Res Adj ]],-2)</f>
        <v>371500</v>
      </c>
      <c r="CX49">
        <f>ROUND(Sales[[#This Row],[25Det]]*Sales[[#This Row],[Det/Nbhd Adj]],-2)</f>
        <v>0</v>
      </c>
      <c r="CY49">
        <f>Sales[[#This Row],[Adjusted Res]]+Sales[[#This Row],[Adj Det ]]</f>
        <v>371500</v>
      </c>
      <c r="CZ49">
        <f>ROUND((Sales[[#This Row],[Mdl Land Intercept]]+Sales[[#This Row],[Mdl LnAcres]])*Sales[[#This Row],[Det/Nbhd Adj]],-2)</f>
        <v>38300</v>
      </c>
      <c r="DA49">
        <f>Sales[[#This Row],[Adjusted Impr Total]]+Sales[[#This Row],[Adjusted Land Total]]</f>
        <v>409800</v>
      </c>
      <c r="DB49">
        <f>IFERROR((Sales[[#This Row],[Adjusted Impr Total]]-Sales[[#This Row],[24Bldg]])/Sales[[#This Row],[24Bldg]],0)</f>
        <v>0.12100181050090525</v>
      </c>
      <c r="DC49">
        <f>(Sales[[#This Row],[Adjusted Land Total]]-Sales[[#This Row],[24Lnd]])/Sales[[#This Row],[24Lnd]]</f>
        <v>-0.32092198581560283</v>
      </c>
      <c r="DD49">
        <f>(Sales[[#This Row],[Adjusted Total]]-Sales[[#This Row],[24Final]])/Sales[[#This Row],[24Final]]</f>
        <v>5.6730273336771532E-2</v>
      </c>
      <c r="DE49">
        <f>(Sales[[#This Row],[Adjusted Total]]+Sales[[#This Row],[Days Prior Total]])/Sales[[#This Row],[Price]]</f>
        <v>0.76562356538823528</v>
      </c>
    </row>
    <row r="50" spans="1:109" x14ac:dyDescent="0.3">
      <c r="A50">
        <v>2025</v>
      </c>
      <c r="B50">
        <v>18131613447</v>
      </c>
      <c r="C50">
        <v>-0.84397007029452897</v>
      </c>
      <c r="D50">
        <v>0.43</v>
      </c>
      <c r="E50">
        <v>18519</v>
      </c>
      <c r="F50">
        <v>5</v>
      </c>
      <c r="G50" t="s">
        <v>89</v>
      </c>
      <c r="H50" t="s">
        <v>302</v>
      </c>
      <c r="I50" t="s">
        <v>302</v>
      </c>
      <c r="J50" t="s">
        <v>26</v>
      </c>
      <c r="K50">
        <v>11</v>
      </c>
      <c r="L50">
        <v>259</v>
      </c>
      <c r="M50" t="s">
        <v>172</v>
      </c>
      <c r="N50" t="s">
        <v>50</v>
      </c>
      <c r="O50" t="s">
        <v>207</v>
      </c>
      <c r="P50">
        <v>2004</v>
      </c>
      <c r="Q50">
        <v>2004</v>
      </c>
      <c r="R50">
        <v>20</v>
      </c>
      <c r="S50">
        <v>20</v>
      </c>
      <c r="T50">
        <v>20</v>
      </c>
      <c r="U50">
        <v>1</v>
      </c>
      <c r="V50">
        <v>2802</v>
      </c>
      <c r="W50">
        <v>0</v>
      </c>
      <c r="X50">
        <v>0</v>
      </c>
      <c r="Y50">
        <v>0</v>
      </c>
      <c r="Z50">
        <v>0</v>
      </c>
      <c r="AA50">
        <v>0</v>
      </c>
      <c r="AB50">
        <v>2802</v>
      </c>
      <c r="AC50">
        <v>3000</v>
      </c>
      <c r="AD50">
        <v>3</v>
      </c>
      <c r="AF50" t="s">
        <v>275</v>
      </c>
      <c r="AG50" t="s">
        <v>111</v>
      </c>
      <c r="AH50" t="s">
        <v>314</v>
      </c>
      <c r="AI50">
        <v>0</v>
      </c>
      <c r="AJ50">
        <v>0</v>
      </c>
      <c r="AK50">
        <v>1</v>
      </c>
      <c r="AL50">
        <v>0</v>
      </c>
      <c r="AM50">
        <v>0</v>
      </c>
      <c r="AN50">
        <v>17</v>
      </c>
      <c r="AO50">
        <v>1072</v>
      </c>
      <c r="AP50">
        <v>0</v>
      </c>
      <c r="AQ50">
        <v>1072</v>
      </c>
      <c r="AR50">
        <v>0</v>
      </c>
      <c r="AS50">
        <v>0</v>
      </c>
      <c r="AT50">
        <v>784</v>
      </c>
      <c r="AU50">
        <v>0</v>
      </c>
      <c r="AV50">
        <v>100</v>
      </c>
      <c r="AW50">
        <v>100</v>
      </c>
      <c r="AX50">
        <v>807207</v>
      </c>
      <c r="AY50">
        <v>774919</v>
      </c>
      <c r="AZ50">
        <v>131</v>
      </c>
      <c r="BA50">
        <v>131</v>
      </c>
      <c r="BB50">
        <v>0</v>
      </c>
      <c r="BC50">
        <v>0</v>
      </c>
      <c r="BD50" s="6">
        <v>45161</v>
      </c>
      <c r="BE50" t="s">
        <v>97</v>
      </c>
      <c r="BF50">
        <v>768000</v>
      </c>
      <c r="BG50">
        <v>768000</v>
      </c>
      <c r="BH50" t="s">
        <v>198</v>
      </c>
      <c r="BI50">
        <v>30</v>
      </c>
      <c r="BJ50" t="s">
        <v>51</v>
      </c>
      <c r="BK50" t="s">
        <v>314</v>
      </c>
      <c r="BL50">
        <v>648600</v>
      </c>
      <c r="BM50">
        <v>112600</v>
      </c>
      <c r="BN50">
        <v>536000</v>
      </c>
      <c r="BO50">
        <v>0</v>
      </c>
      <c r="BP50">
        <v>0.84453124999999996</v>
      </c>
      <c r="BQ50">
        <v>692901.26238650072</v>
      </c>
      <c r="BR50">
        <v>713620.47950312216</v>
      </c>
      <c r="BS50" s="7">
        <f>(BR50-BL50)/BL50</f>
        <v>0.10024742445748097</v>
      </c>
      <c r="BT50" s="14">
        <f>(Sales[[#This Row],[DP1]]*Lookups!$B$51)+(Sales[[#This Row],[DP2]]*Lookups!$B$52)+(Sales[[#This Row],[DP3]]*Lookups!$B$53)</f>
        <v>-20719.222000000002</v>
      </c>
      <c r="BU50" s="14">
        <f>Lookups!$B$48*0.5</f>
        <v>87214.824999999997</v>
      </c>
      <c r="BV50" s="14">
        <f>Lookups!$B$48*0.5</f>
        <v>87214.824999999997</v>
      </c>
      <c r="BW50" s="14">
        <f>Lookups!$B$49*Sales[[#This Row],[LnAcres]]</f>
        <v>-21122.752947940648</v>
      </c>
      <c r="BX50" s="14">
        <f>VLOOKUP(Sales[[#This Row],[Qlty]],Lookups!$A$54:$E$67,2,FALSE)</f>
        <v>46722.525125</v>
      </c>
      <c r="BY50" s="14">
        <f>VLOOKUP(Sales[[#This Row],[Cnd]],Lookups!$A$68:$E$76,2,FALSE)</f>
        <v>47273.897095</v>
      </c>
      <c r="BZ50" s="14">
        <f>Sales[[#This Row],[Age]]*Lookups!$B$77</f>
        <v>3690.2485999999999</v>
      </c>
      <c r="CA50" s="14">
        <f>Sales[[#This Row],[MainFn]]*Lookups!$B$78</f>
        <v>193571.85211800001</v>
      </c>
      <c r="CB50" s="14">
        <f>Sales[[#This Row],[UpprFn]]*Lookups!$B$79</f>
        <v>0</v>
      </c>
      <c r="CC50" s="14">
        <f>Sales[[#This Row],[AddFn]]*Lookups!$B$80</f>
        <v>0</v>
      </c>
      <c r="CD50" s="14">
        <f>Sales[[#This Row],[Bsmt]]*Lookups!$B$81</f>
        <v>0</v>
      </c>
      <c r="CE50" s="14">
        <f>Sales[[#This Row],[Fixtures]]*Lookups!$B$84</f>
        <v>172636.7</v>
      </c>
      <c r="CF50" s="14">
        <f>Sales[[#This Row],[MsnryFP]]*Lookups!$B$82</f>
        <v>0</v>
      </c>
      <c r="CG50" s="14">
        <f>Sales[[#This Row],[PrefabFP]]*Lookups!$B$83</f>
        <v>42091.021999999997</v>
      </c>
      <c r="CH50" s="14">
        <f>Sales[[#This Row],[GarageArea]]*Lookups!$B$85</f>
        <v>54327.348784000002</v>
      </c>
      <c r="CI50" s="14">
        <f>SUM(Sales[[#This Row],[Days Prior Total]:[Mdl GarageArea]])</f>
        <v>692901.26877405937</v>
      </c>
      <c r="CJ50" s="14">
        <f>ROUND(Sales[[#This Row],[25Det]],-2)</f>
        <v>0</v>
      </c>
      <c r="CK50" s="14">
        <f>ROUND(SUM(Sales[[#This Row],[Mdl Qlty]:[Mdl GarageArea]])+Sales[[#This Row],[Mdl Res Intercept]]+Sales[[#This Row],[Days Prior Total]],-2)</f>
        <v>626800</v>
      </c>
      <c r="CL50" s="14">
        <f>ROUND(Sales[[#This Row],[Mdl Land Intercept]]+Sales[[#This Row],[Mdl LnAcres]],-2)</f>
        <v>66100</v>
      </c>
      <c r="CM50" s="14">
        <f>Sales[[#This Row],[Unadj Res Value]]+Sales[[#This Row],[Unadj Det Value]]+Sales[[#This Row],[Unadj Land Value]]</f>
        <v>692900</v>
      </c>
      <c r="CN50" s="15">
        <f>Sales[[#This Row],[Unadj Total Value]]/Sales[[#This Row],[Price]]</f>
        <v>0.90221354166666667</v>
      </c>
      <c r="CO50" s="15">
        <f>(Sales[[#This Row],[Unadj Total Value]]-Sales[[#This Row],[24Final]])/Sales[[#This Row],[24Final]]</f>
        <v>6.8300955905026217E-2</v>
      </c>
      <c r="CP50">
        <f>VLOOKUP(Sales[[#This Row],[TNbhd]],Lookups!$M$2:$P$4,4,FALSE)</f>
        <v>0.97570000000000001</v>
      </c>
      <c r="CQ50">
        <f>VLOOKUP(Sales[[#This Row],[Qlty]],Lookups!$M$6:$P$20,4,FALSE)</f>
        <v>0.98329999999999995</v>
      </c>
      <c r="CR50">
        <f>VLOOKUP(Sales[[#This Row],[Cnd]],Lookups!$R$6:$U$15,4,FALSE)</f>
        <v>0.97829999999999995</v>
      </c>
      <c r="CS50">
        <f>VLOOKUP(Sales[[#This Row],[LivArea Range]],Lookups!$R$23:$U$39,4,FALSE)</f>
        <v>0.93310000000000004</v>
      </c>
      <c r="CT50">
        <f>VLOOKUP(Sales[[#This Row],[Decade]],Lookups!$M$23:$P$35,4,FALSE)</f>
        <v>0.97499999999999998</v>
      </c>
      <c r="CU50">
        <f>Sales[[#This Row],[Nbhd Adj]]*0.95</f>
        <v>0.92691499999999993</v>
      </c>
      <c r="CV50">
        <f>Sales[[#This Row],[Nbhd Adj]]*Sales[[#This Row],[Quality Adj]]*Sales[[#This Row],[Condition Adj]]*Sales[[#This Row],[Living Area Adj]]*Sales[[#This Row],[Decade Adj]]*0.95</f>
        <v>0.81120535349004808</v>
      </c>
      <c r="CW50">
        <f>ROUND(SUM(Sales[[#This Row],[Mdl Qlty]:[Mdl GarageArea]])+Sales[[#This Row],[Mdl Res Intercept]]*Sales[[#This Row],[Res Adj ]],-2)</f>
        <v>631100</v>
      </c>
      <c r="CX50">
        <f>ROUND(Sales[[#This Row],[25Det]]*Sales[[#This Row],[Det/Nbhd Adj]],-2)</f>
        <v>0</v>
      </c>
      <c r="CY50">
        <f>Sales[[#This Row],[Adjusted Res]]+Sales[[#This Row],[Adj Det ]]</f>
        <v>631100</v>
      </c>
      <c r="CZ50">
        <f>ROUND((Sales[[#This Row],[Mdl Land Intercept]]+Sales[[#This Row],[Mdl LnAcres]])*Sales[[#This Row],[Det/Nbhd Adj]],-2)</f>
        <v>61300</v>
      </c>
      <c r="DA50">
        <f>Sales[[#This Row],[Adjusted Impr Total]]+Sales[[#This Row],[Adjusted Land Total]]</f>
        <v>692400</v>
      </c>
      <c r="DB50">
        <f>IFERROR((Sales[[#This Row],[Adjusted Impr Total]]-Sales[[#This Row],[24Bldg]])/Sales[[#This Row],[24Bldg]],0)</f>
        <v>0.17742537313432835</v>
      </c>
      <c r="DC50">
        <f>(Sales[[#This Row],[Adjusted Land Total]]-Sales[[#This Row],[24Lnd]])/Sales[[#This Row],[24Lnd]]</f>
        <v>-0.45559502664298401</v>
      </c>
      <c r="DD50">
        <f>(Sales[[#This Row],[Adjusted Total]]-Sales[[#This Row],[24Final]])/Sales[[#This Row],[24Final]]</f>
        <v>6.7530064754856609E-2</v>
      </c>
      <c r="DE50">
        <f>(Sales[[#This Row],[Adjusted Total]]+Sales[[#This Row],[Days Prior Total]])/Sales[[#This Row],[Price]]</f>
        <v>0.87458434635416671</v>
      </c>
    </row>
    <row r="51" spans="1:109" x14ac:dyDescent="0.3">
      <c r="A51">
        <v>2025</v>
      </c>
      <c r="B51">
        <v>17132413431</v>
      </c>
      <c r="C51">
        <v>0</v>
      </c>
      <c r="D51">
        <v>1</v>
      </c>
      <c r="E51">
        <v>0</v>
      </c>
      <c r="F51">
        <v>1</v>
      </c>
      <c r="G51" t="s">
        <v>89</v>
      </c>
      <c r="H51">
        <v>3042</v>
      </c>
      <c r="I51" t="s">
        <v>302</v>
      </c>
      <c r="J51" t="s">
        <v>26</v>
      </c>
      <c r="K51">
        <v>11</v>
      </c>
      <c r="L51">
        <v>331</v>
      </c>
      <c r="M51" t="s">
        <v>313</v>
      </c>
      <c r="N51" t="s">
        <v>274</v>
      </c>
      <c r="O51" t="s">
        <v>258</v>
      </c>
      <c r="P51">
        <v>2002</v>
      </c>
      <c r="Q51">
        <v>2002</v>
      </c>
      <c r="R51">
        <v>30</v>
      </c>
      <c r="S51">
        <v>22</v>
      </c>
      <c r="T51">
        <v>22</v>
      </c>
      <c r="U51">
        <v>1</v>
      </c>
      <c r="V51">
        <v>3819</v>
      </c>
      <c r="W51">
        <v>0</v>
      </c>
      <c r="X51">
        <v>0</v>
      </c>
      <c r="Y51">
        <v>0</v>
      </c>
      <c r="Z51">
        <v>0</v>
      </c>
      <c r="AA51">
        <v>0</v>
      </c>
      <c r="AB51">
        <v>3819</v>
      </c>
      <c r="AC51">
        <v>4000</v>
      </c>
      <c r="AD51">
        <v>2</v>
      </c>
      <c r="AE51" t="s">
        <v>132</v>
      </c>
      <c r="AF51" t="s">
        <v>275</v>
      </c>
      <c r="AG51" t="s">
        <v>111</v>
      </c>
      <c r="AH51" t="s">
        <v>314</v>
      </c>
      <c r="AI51">
        <v>0</v>
      </c>
      <c r="AJ51">
        <v>0</v>
      </c>
      <c r="AK51">
        <v>2</v>
      </c>
      <c r="AL51">
        <v>2</v>
      </c>
      <c r="AM51">
        <v>1</v>
      </c>
      <c r="AN51">
        <v>16</v>
      </c>
      <c r="AO51">
        <v>673</v>
      </c>
      <c r="AP51">
        <v>0</v>
      </c>
      <c r="AQ51">
        <v>673</v>
      </c>
      <c r="AR51">
        <v>0</v>
      </c>
      <c r="AS51">
        <v>0</v>
      </c>
      <c r="AT51">
        <v>579</v>
      </c>
      <c r="AU51">
        <v>0</v>
      </c>
      <c r="AV51">
        <v>100</v>
      </c>
      <c r="AW51">
        <v>100</v>
      </c>
      <c r="AX51">
        <v>1299512</v>
      </c>
      <c r="AY51">
        <v>1247532</v>
      </c>
      <c r="AZ51">
        <v>279</v>
      </c>
      <c r="BA51">
        <v>279</v>
      </c>
      <c r="BB51">
        <v>0</v>
      </c>
      <c r="BC51">
        <v>0</v>
      </c>
      <c r="BD51" s="6">
        <v>45013</v>
      </c>
      <c r="BE51" t="s">
        <v>196</v>
      </c>
      <c r="BF51">
        <v>1100000</v>
      </c>
      <c r="BG51">
        <v>1100000</v>
      </c>
      <c r="BH51" t="s">
        <v>198</v>
      </c>
      <c r="BI51">
        <v>30</v>
      </c>
      <c r="BJ51" t="s">
        <v>51</v>
      </c>
      <c r="BK51" t="s">
        <v>314</v>
      </c>
      <c r="BL51">
        <v>1034600</v>
      </c>
      <c r="BM51">
        <v>160000</v>
      </c>
      <c r="BN51">
        <v>874600</v>
      </c>
      <c r="BO51">
        <v>0</v>
      </c>
      <c r="BP51">
        <v>0.94054545454545457</v>
      </c>
      <c r="BQ51">
        <v>1028859.4804736837</v>
      </c>
      <c r="BR51">
        <v>1072986.6680732057</v>
      </c>
      <c r="BS51" s="7">
        <f>(BR51-BL51)/BL51</f>
        <v>3.7102907474585098E-2</v>
      </c>
      <c r="BT51" s="14">
        <f>(Sales[[#This Row],[DP1]]*Lookups!$B$51)+(Sales[[#This Row],[DP2]]*Lookups!$B$52)+(Sales[[#This Row],[DP3]]*Lookups!$B$53)</f>
        <v>-44127.198000000004</v>
      </c>
      <c r="BU51" s="14">
        <f>Lookups!$B$48*0.5</f>
        <v>87214.824999999997</v>
      </c>
      <c r="BV51" s="14">
        <f>Lookups!$B$48*0.5</f>
        <v>87214.824999999997</v>
      </c>
      <c r="BW51" s="14">
        <f>Lookups!$B$49*Sales[[#This Row],[LnAcres]]</f>
        <v>0</v>
      </c>
      <c r="BX51" s="14">
        <f>VLOOKUP(Sales[[#This Row],[Qlty]],Lookups!$A$54:$E$67,2,FALSE)</f>
        <v>243340.36395999999</v>
      </c>
      <c r="BY51" s="14">
        <f>VLOOKUP(Sales[[#This Row],[Cnd]],Lookups!$A$68:$E$76,2,FALSE)</f>
        <v>106557.38887</v>
      </c>
      <c r="BZ51" s="14">
        <f>Sales[[#This Row],[Age]]*Lookups!$B$77</f>
        <v>4059.2734599999999</v>
      </c>
      <c r="CA51" s="14">
        <f>Sales[[#This Row],[MainFn]]*Lookups!$B$78</f>
        <v>263829.72992100002</v>
      </c>
      <c r="CB51" s="14">
        <f>Sales[[#This Row],[UpprFn]]*Lookups!$B$79</f>
        <v>0</v>
      </c>
      <c r="CC51" s="14">
        <f>Sales[[#This Row],[AddFn]]*Lookups!$B$80</f>
        <v>0</v>
      </c>
      <c r="CD51" s="14">
        <f>Sales[[#This Row],[Bsmt]]*Lookups!$B$81</f>
        <v>0</v>
      </c>
      <c r="CE51" s="14">
        <f>Sales[[#This Row],[Fixtures]]*Lookups!$B$84</f>
        <v>162481.60000000001</v>
      </c>
      <c r="CF51" s="14">
        <f>Sales[[#This Row],[MsnryFP]]*Lookups!$B$82</f>
        <v>0</v>
      </c>
      <c r="CG51" s="14">
        <f>Sales[[#This Row],[PrefabFP]]*Lookups!$B$83</f>
        <v>84182.043999999994</v>
      </c>
      <c r="CH51" s="14">
        <f>Sales[[#This Row],[GarageArea]]*Lookups!$B$85</f>
        <v>34106.628481</v>
      </c>
      <c r="CI51" s="14">
        <f>SUM(Sales[[#This Row],[Days Prior Total]:[Mdl GarageArea]])</f>
        <v>1028859.4806919999</v>
      </c>
      <c r="CJ51" s="14">
        <f>ROUND(Sales[[#This Row],[25Det]],-2)</f>
        <v>0</v>
      </c>
      <c r="CK51" s="14">
        <f>ROUND(SUM(Sales[[#This Row],[Mdl Qlty]:[Mdl GarageArea]])+Sales[[#This Row],[Mdl Res Intercept]]+Sales[[#This Row],[Days Prior Total]],-2)</f>
        <v>941600</v>
      </c>
      <c r="CL51" s="14">
        <f>ROUND(Sales[[#This Row],[Mdl Land Intercept]]+Sales[[#This Row],[Mdl LnAcres]],-2)</f>
        <v>87200</v>
      </c>
      <c r="CM51" s="14">
        <f>Sales[[#This Row],[Unadj Res Value]]+Sales[[#This Row],[Unadj Det Value]]+Sales[[#This Row],[Unadj Land Value]]</f>
        <v>1028800</v>
      </c>
      <c r="CN51" s="15">
        <f>Sales[[#This Row],[Unadj Total Value]]/Sales[[#This Row],[Price]]</f>
        <v>0.93527272727272726</v>
      </c>
      <c r="CO51" s="15">
        <f>(Sales[[#This Row],[Unadj Total Value]]-Sales[[#This Row],[24Final]])/Sales[[#This Row],[24Final]]</f>
        <v>-5.6060313164508022E-3</v>
      </c>
      <c r="CP51">
        <f>VLOOKUP(Sales[[#This Row],[TNbhd]],Lookups!$M$2:$P$4,4,FALSE)</f>
        <v>0.97570000000000001</v>
      </c>
      <c r="CQ51">
        <f>VLOOKUP(Sales[[#This Row],[Qlty]],Lookups!$M$6:$P$20,4,FALSE)</f>
        <v>0.99519999999999997</v>
      </c>
      <c r="CR51">
        <f>VLOOKUP(Sales[[#This Row],[Cnd]],Lookups!$R$6:$U$15,4,FALSE)</f>
        <v>0.9748</v>
      </c>
      <c r="CS51">
        <f>VLOOKUP(Sales[[#This Row],[LivArea Range]],Lookups!$R$23:$U$39,4,FALSE)</f>
        <v>1.034</v>
      </c>
      <c r="CT51">
        <f>VLOOKUP(Sales[[#This Row],[Decade]],Lookups!$M$23:$P$35,4,FALSE)</f>
        <v>1.0059</v>
      </c>
      <c r="CU51">
        <f>Sales[[#This Row],[Nbhd Adj]]*0.95</f>
        <v>0.92691499999999993</v>
      </c>
      <c r="CV51">
        <f>Sales[[#This Row],[Nbhd Adj]]*Sales[[#This Row],[Quality Adj]]*Sales[[#This Row],[Condition Adj]]*Sales[[#This Row],[Living Area Adj]]*Sales[[#This Row],[Decade Adj]]*0.95</f>
        <v>0.93527891792270168</v>
      </c>
      <c r="CW51">
        <f>ROUND(SUM(Sales[[#This Row],[Mdl Qlty]:[Mdl GarageArea]])+Sales[[#This Row],[Mdl Res Intercept]]*Sales[[#This Row],[Res Adj ]],-2)</f>
        <v>980100</v>
      </c>
      <c r="CX51">
        <f>ROUND(Sales[[#This Row],[25Det]]*Sales[[#This Row],[Det/Nbhd Adj]],-2)</f>
        <v>0</v>
      </c>
      <c r="CY51">
        <f>Sales[[#This Row],[Adjusted Res]]+Sales[[#This Row],[Adj Det ]]</f>
        <v>980100</v>
      </c>
      <c r="CZ51">
        <f>ROUND((Sales[[#This Row],[Mdl Land Intercept]]+Sales[[#This Row],[Mdl LnAcres]])*Sales[[#This Row],[Det/Nbhd Adj]],-2)</f>
        <v>80800</v>
      </c>
      <c r="DA51">
        <f>Sales[[#This Row],[Adjusted Impr Total]]+Sales[[#This Row],[Adjusted Land Total]]</f>
        <v>1060900</v>
      </c>
      <c r="DB51">
        <f>IFERROR((Sales[[#This Row],[Adjusted Impr Total]]-Sales[[#This Row],[24Bldg]])/Sales[[#This Row],[24Bldg]],0)</f>
        <v>0.12062657214726732</v>
      </c>
      <c r="DC51">
        <f>(Sales[[#This Row],[Adjusted Land Total]]-Sales[[#This Row],[24Lnd]])/Sales[[#This Row],[24Lnd]]</f>
        <v>-0.495</v>
      </c>
      <c r="DD51">
        <f>(Sales[[#This Row],[Adjusted Total]]-Sales[[#This Row],[24Final]])/Sales[[#This Row],[24Final]]</f>
        <v>2.5420452348733809E-2</v>
      </c>
      <c r="DE51">
        <f>(Sales[[#This Row],[Adjusted Total]]+Sales[[#This Row],[Days Prior Total]])/Sales[[#This Row],[Price]]</f>
        <v>0.92433891090909093</v>
      </c>
    </row>
    <row r="52" spans="1:109" x14ac:dyDescent="0.3">
      <c r="A52">
        <v>2025</v>
      </c>
      <c r="B52">
        <v>18131633445</v>
      </c>
      <c r="C52">
        <v>-5.1293294387550578E-2</v>
      </c>
      <c r="D52">
        <v>0.95</v>
      </c>
      <c r="E52">
        <v>41439</v>
      </c>
      <c r="F52">
        <v>5</v>
      </c>
      <c r="G52" t="s">
        <v>89</v>
      </c>
      <c r="H52" t="s">
        <v>302</v>
      </c>
      <c r="I52" t="s">
        <v>302</v>
      </c>
      <c r="J52" t="s">
        <v>26</v>
      </c>
      <c r="K52">
        <v>11</v>
      </c>
      <c r="L52">
        <v>331</v>
      </c>
      <c r="M52" t="s">
        <v>313</v>
      </c>
      <c r="N52" t="s">
        <v>230</v>
      </c>
      <c r="O52" t="s">
        <v>258</v>
      </c>
      <c r="P52">
        <v>2002</v>
      </c>
      <c r="Q52">
        <v>2002</v>
      </c>
      <c r="R52">
        <v>30</v>
      </c>
      <c r="S52">
        <v>22</v>
      </c>
      <c r="T52">
        <v>22</v>
      </c>
      <c r="U52">
        <v>1</v>
      </c>
      <c r="V52">
        <v>2861</v>
      </c>
      <c r="W52">
        <v>0</v>
      </c>
      <c r="X52">
        <v>0</v>
      </c>
      <c r="Y52">
        <v>2790</v>
      </c>
      <c r="Z52">
        <v>2337</v>
      </c>
      <c r="AA52">
        <v>453</v>
      </c>
      <c r="AB52">
        <v>5198</v>
      </c>
      <c r="AC52">
        <v>5500</v>
      </c>
      <c r="AD52">
        <v>3</v>
      </c>
      <c r="AE52" t="s">
        <v>132</v>
      </c>
      <c r="AF52" t="s">
        <v>275</v>
      </c>
      <c r="AG52" t="s">
        <v>111</v>
      </c>
      <c r="AH52" t="s">
        <v>314</v>
      </c>
      <c r="AI52">
        <v>0</v>
      </c>
      <c r="AJ52">
        <v>0</v>
      </c>
      <c r="AK52">
        <v>2</v>
      </c>
      <c r="AL52">
        <v>1</v>
      </c>
      <c r="AM52">
        <v>1</v>
      </c>
      <c r="AN52">
        <v>19</v>
      </c>
      <c r="AO52">
        <v>816</v>
      </c>
      <c r="AP52">
        <v>0</v>
      </c>
      <c r="AQ52">
        <v>816</v>
      </c>
      <c r="AR52">
        <v>0</v>
      </c>
      <c r="AS52">
        <v>868</v>
      </c>
      <c r="AT52">
        <v>355</v>
      </c>
      <c r="AU52">
        <v>63</v>
      </c>
      <c r="AV52">
        <v>100</v>
      </c>
      <c r="AW52">
        <v>100</v>
      </c>
      <c r="AX52">
        <v>1604871</v>
      </c>
      <c r="AY52">
        <v>1540676</v>
      </c>
      <c r="AZ52">
        <v>136</v>
      </c>
      <c r="BA52">
        <v>136</v>
      </c>
      <c r="BB52">
        <v>0</v>
      </c>
      <c r="BC52">
        <v>0</v>
      </c>
      <c r="BD52" s="6">
        <v>45156</v>
      </c>
      <c r="BE52" t="s">
        <v>326</v>
      </c>
      <c r="BF52">
        <v>1395000</v>
      </c>
      <c r="BG52">
        <v>1395000</v>
      </c>
      <c r="BH52" t="s">
        <v>198</v>
      </c>
      <c r="BI52">
        <v>30</v>
      </c>
      <c r="BJ52" t="s">
        <v>51</v>
      </c>
      <c r="BK52" t="s">
        <v>314</v>
      </c>
      <c r="BL52">
        <v>861600</v>
      </c>
      <c r="BM52">
        <v>157600</v>
      </c>
      <c r="BN52">
        <v>704000</v>
      </c>
      <c r="BO52">
        <v>0</v>
      </c>
      <c r="BP52">
        <v>0.61763440860215058</v>
      </c>
      <c r="BQ52">
        <v>1377442.7899623134</v>
      </c>
      <c r="BR52">
        <v>1398952.8168925464</v>
      </c>
      <c r="BS52" s="7">
        <f>(BR52-BL52)/BL52</f>
        <v>0.62366854328289967</v>
      </c>
      <c r="BT52" s="14">
        <f>(Sales[[#This Row],[DP1]]*Lookups!$B$51)+(Sales[[#This Row],[DP2]]*Lookups!$B$52)+(Sales[[#This Row],[DP3]]*Lookups!$B$53)</f>
        <v>-21510.031999999999</v>
      </c>
      <c r="BU52" s="14">
        <f>Lookups!$B$48*0.5</f>
        <v>87214.824999999997</v>
      </c>
      <c r="BV52" s="14">
        <f>Lookups!$B$48*0.5</f>
        <v>87214.824999999997</v>
      </c>
      <c r="BW52" s="14">
        <f>Lookups!$B$49*Sales[[#This Row],[LnAcres]]</f>
        <v>-1283.7606727642803</v>
      </c>
      <c r="BX52" s="14">
        <f>VLOOKUP(Sales[[#This Row],[Qlty]],Lookups!$A$54:$E$67,2,FALSE)</f>
        <v>519241.74659</v>
      </c>
      <c r="BY52" s="14">
        <f>VLOOKUP(Sales[[#This Row],[Cnd]],Lookups!$A$68:$E$76,2,FALSE)</f>
        <v>106557.38887</v>
      </c>
      <c r="BZ52" s="14">
        <f>Sales[[#This Row],[Age]]*Lookups!$B$77</f>
        <v>4059.2734599999999</v>
      </c>
      <c r="CA52" s="14">
        <f>Sales[[#This Row],[MainFn]]*Lookups!$B$78</f>
        <v>197647.77619900001</v>
      </c>
      <c r="CB52" s="14">
        <f>Sales[[#This Row],[UpprFn]]*Lookups!$B$79</f>
        <v>0</v>
      </c>
      <c r="CC52" s="14">
        <f>Sales[[#This Row],[AddFn]]*Lookups!$B$80</f>
        <v>0</v>
      </c>
      <c r="CD52" s="14">
        <f>Sales[[#This Row],[Bsmt]]*Lookups!$B$81</f>
        <v>79818.15582</v>
      </c>
      <c r="CE52" s="14">
        <f>Sales[[#This Row],[Fixtures]]*Lookups!$B$84</f>
        <v>192946.9</v>
      </c>
      <c r="CF52" s="14">
        <f>Sales[[#This Row],[MsnryFP]]*Lookups!$B$82</f>
        <v>0</v>
      </c>
      <c r="CG52" s="14">
        <f>Sales[[#This Row],[PrefabFP]]*Lookups!$B$83</f>
        <v>84182.043999999994</v>
      </c>
      <c r="CH52" s="14">
        <f>Sales[[#This Row],[GarageArea]]*Lookups!$B$85</f>
        <v>41353.653552000003</v>
      </c>
      <c r="CI52" s="14">
        <f>SUM(Sales[[#This Row],[Days Prior Total]:[Mdl GarageArea]])</f>
        <v>1377442.7958182357</v>
      </c>
      <c r="CJ52" s="14">
        <f>ROUND(Sales[[#This Row],[25Det]],-2)</f>
        <v>0</v>
      </c>
      <c r="CK52" s="14">
        <f>ROUND(SUM(Sales[[#This Row],[Mdl Qlty]:[Mdl GarageArea]])+Sales[[#This Row],[Mdl Res Intercept]]+Sales[[#This Row],[Days Prior Total]],-2)</f>
        <v>1291500</v>
      </c>
      <c r="CL52" s="14">
        <f>ROUND(Sales[[#This Row],[Mdl Land Intercept]]+Sales[[#This Row],[Mdl LnAcres]],-2)</f>
        <v>85900</v>
      </c>
      <c r="CM52" s="14">
        <f>Sales[[#This Row],[Unadj Res Value]]+Sales[[#This Row],[Unadj Det Value]]+Sales[[#This Row],[Unadj Land Value]]</f>
        <v>1377400</v>
      </c>
      <c r="CN52" s="15">
        <f>Sales[[#This Row],[Unadj Total Value]]/Sales[[#This Row],[Price]]</f>
        <v>0.98738351254480283</v>
      </c>
      <c r="CO52" s="15">
        <f>(Sales[[#This Row],[Unadj Total Value]]-Sales[[#This Row],[24Final]])/Sales[[#This Row],[24Final]]</f>
        <v>0.5986536675951718</v>
      </c>
      <c r="CP52">
        <f>VLOOKUP(Sales[[#This Row],[TNbhd]],Lookups!$M$2:$P$4,4,FALSE)</f>
        <v>0.97570000000000001</v>
      </c>
      <c r="CQ52">
        <f>VLOOKUP(Sales[[#This Row],[Qlty]],Lookups!$M$6:$P$20,4,FALSE)</f>
        <v>0.99960000000000004</v>
      </c>
      <c r="CR52">
        <f>VLOOKUP(Sales[[#This Row],[Cnd]],Lookups!$R$6:$U$15,4,FALSE)</f>
        <v>0.9748</v>
      </c>
      <c r="CS52">
        <f>VLOOKUP(Sales[[#This Row],[LivArea Range]],Lookups!$R$23:$U$39,4,FALSE)</f>
        <v>0.90720000000000001</v>
      </c>
      <c r="CT52">
        <f>VLOOKUP(Sales[[#This Row],[Decade]],Lookups!$M$23:$P$35,4,FALSE)</f>
        <v>1.0059</v>
      </c>
      <c r="CU52">
        <f>Sales[[#This Row],[Nbhd Adj]]*0.95</f>
        <v>0.92691499999999993</v>
      </c>
      <c r="CV52">
        <f>Sales[[#This Row],[Nbhd Adj]]*Sales[[#This Row],[Quality Adj]]*Sales[[#This Row],[Condition Adj]]*Sales[[#This Row],[Living Area Adj]]*Sales[[#This Row],[Decade Adj]]*0.95</f>
        <v>0.824213128554527</v>
      </c>
      <c r="CW52">
        <f>ROUND(SUM(Sales[[#This Row],[Mdl Qlty]:[Mdl GarageArea]])+Sales[[#This Row],[Mdl Res Intercept]]*Sales[[#This Row],[Res Adj ]],-2)</f>
        <v>1297700</v>
      </c>
      <c r="CX52">
        <f>ROUND(Sales[[#This Row],[25Det]]*Sales[[#This Row],[Det/Nbhd Adj]],-2)</f>
        <v>0</v>
      </c>
      <c r="CY52">
        <f>Sales[[#This Row],[Adjusted Res]]+Sales[[#This Row],[Adj Det ]]</f>
        <v>1297700</v>
      </c>
      <c r="CZ52">
        <f>ROUND((Sales[[#This Row],[Mdl Land Intercept]]+Sales[[#This Row],[Mdl LnAcres]])*Sales[[#This Row],[Det/Nbhd Adj]],-2)</f>
        <v>79700</v>
      </c>
      <c r="DA52">
        <f>Sales[[#This Row],[Adjusted Impr Total]]+Sales[[#This Row],[Adjusted Land Total]]</f>
        <v>1377400</v>
      </c>
      <c r="DB52">
        <f>IFERROR((Sales[[#This Row],[Adjusted Impr Total]]-Sales[[#This Row],[24Bldg]])/Sales[[#This Row],[24Bldg]],0)</f>
        <v>0.84332386363636369</v>
      </c>
      <c r="DC52">
        <f>(Sales[[#This Row],[Adjusted Land Total]]-Sales[[#This Row],[24Lnd]])/Sales[[#This Row],[24Lnd]]</f>
        <v>-0.49428934010152287</v>
      </c>
      <c r="DD52">
        <f>(Sales[[#This Row],[Adjusted Total]]-Sales[[#This Row],[24Final]])/Sales[[#This Row],[24Final]]</f>
        <v>0.5986536675951718</v>
      </c>
      <c r="DE52">
        <f>(Sales[[#This Row],[Adjusted Total]]+Sales[[#This Row],[Days Prior Total]])/Sales[[#This Row],[Price]]</f>
        <v>0.97196413476702515</v>
      </c>
    </row>
    <row r="53" spans="1:109" x14ac:dyDescent="0.3">
      <c r="A53">
        <v>2025</v>
      </c>
      <c r="B53">
        <v>18131741413</v>
      </c>
      <c r="C53">
        <v>7.6961041136128394E-2</v>
      </c>
      <c r="D53">
        <v>1.08</v>
      </c>
      <c r="E53">
        <v>46901</v>
      </c>
      <c r="F53">
        <v>1</v>
      </c>
      <c r="G53" t="s">
        <v>89</v>
      </c>
      <c r="H53" t="s">
        <v>203</v>
      </c>
      <c r="I53" t="s">
        <v>302</v>
      </c>
      <c r="J53" t="s">
        <v>110</v>
      </c>
      <c r="K53">
        <v>11</v>
      </c>
      <c r="L53">
        <v>259</v>
      </c>
      <c r="M53" t="s">
        <v>313</v>
      </c>
      <c r="N53" t="s">
        <v>274</v>
      </c>
      <c r="O53" t="s">
        <v>258</v>
      </c>
      <c r="P53">
        <v>2000</v>
      </c>
      <c r="Q53">
        <v>2000</v>
      </c>
      <c r="R53">
        <v>30</v>
      </c>
      <c r="S53">
        <v>24</v>
      </c>
      <c r="T53">
        <v>24</v>
      </c>
      <c r="U53">
        <v>2</v>
      </c>
      <c r="V53">
        <v>2060</v>
      </c>
      <c r="W53">
        <v>1196</v>
      </c>
      <c r="X53">
        <v>0</v>
      </c>
      <c r="Y53">
        <v>0</v>
      </c>
      <c r="Z53">
        <v>0</v>
      </c>
      <c r="AA53">
        <v>0</v>
      </c>
      <c r="AB53">
        <v>3256</v>
      </c>
      <c r="AC53">
        <v>3500</v>
      </c>
      <c r="AD53">
        <v>3</v>
      </c>
      <c r="AF53" t="s">
        <v>275</v>
      </c>
      <c r="AG53" t="s">
        <v>111</v>
      </c>
      <c r="AH53" t="s">
        <v>314</v>
      </c>
      <c r="AI53">
        <v>0</v>
      </c>
      <c r="AJ53">
        <v>1</v>
      </c>
      <c r="AK53">
        <v>0</v>
      </c>
      <c r="AL53">
        <v>0</v>
      </c>
      <c r="AM53">
        <v>1</v>
      </c>
      <c r="AN53">
        <v>13</v>
      </c>
      <c r="AO53">
        <v>836</v>
      </c>
      <c r="AP53">
        <v>0</v>
      </c>
      <c r="AQ53">
        <v>836</v>
      </c>
      <c r="AR53">
        <v>0</v>
      </c>
      <c r="AS53">
        <v>346</v>
      </c>
      <c r="AT53">
        <v>356</v>
      </c>
      <c r="AU53">
        <v>346</v>
      </c>
      <c r="AV53">
        <v>100</v>
      </c>
      <c r="AW53">
        <v>100</v>
      </c>
      <c r="AX53">
        <v>975975</v>
      </c>
      <c r="AY53">
        <v>936936</v>
      </c>
      <c r="AZ53">
        <v>622</v>
      </c>
      <c r="BA53">
        <v>365</v>
      </c>
      <c r="BB53">
        <v>257</v>
      </c>
      <c r="BC53">
        <v>0</v>
      </c>
      <c r="BD53" s="6">
        <v>44670</v>
      </c>
      <c r="BE53" t="s">
        <v>82</v>
      </c>
      <c r="BF53">
        <v>910000</v>
      </c>
      <c r="BG53">
        <v>870929</v>
      </c>
      <c r="BH53" t="s">
        <v>198</v>
      </c>
      <c r="BI53">
        <v>30</v>
      </c>
      <c r="BJ53" t="s">
        <v>51</v>
      </c>
      <c r="BK53" t="s">
        <v>314</v>
      </c>
      <c r="BL53">
        <v>832900</v>
      </c>
      <c r="BM53">
        <v>164900</v>
      </c>
      <c r="BN53">
        <v>668000</v>
      </c>
      <c r="BO53">
        <v>39071</v>
      </c>
      <c r="BP53">
        <v>0.91527472527472531</v>
      </c>
      <c r="BQ53">
        <v>912550.23856076831</v>
      </c>
      <c r="BR53">
        <v>945827.20667609875</v>
      </c>
      <c r="BS53" s="7">
        <f>(BR53-BL53)/BL53</f>
        <v>0.13558315124996848</v>
      </c>
      <c r="BT53" s="14">
        <f>(Sales[[#This Row],[DP1]]*Lookups!$B$51)+(Sales[[#This Row],[DP2]]*Lookups!$B$52)+(Sales[[#This Row],[DP3]]*Lookups!$B$53)</f>
        <v>-33276.981678000004</v>
      </c>
      <c r="BU53" s="14">
        <f>Lookups!$B$48*0.5</f>
        <v>87214.824999999997</v>
      </c>
      <c r="BV53" s="14">
        <f>Lookups!$B$48*0.5</f>
        <v>87214.824999999997</v>
      </c>
      <c r="BW53" s="14">
        <f>Lookups!$B$49*Sales[[#This Row],[LnAcres]]</f>
        <v>1926.1690855546865</v>
      </c>
      <c r="BX53" s="14">
        <f>VLOOKUP(Sales[[#This Row],[Qlty]],Lookups!$A$54:$E$67,2,FALSE)</f>
        <v>243340.36395999999</v>
      </c>
      <c r="BY53" s="14">
        <f>VLOOKUP(Sales[[#This Row],[Cnd]],Lookups!$A$68:$E$76,2,FALSE)</f>
        <v>106557.38887</v>
      </c>
      <c r="BZ53" s="14">
        <f>Sales[[#This Row],[Age]]*Lookups!$B$77</f>
        <v>4428.2983199999999</v>
      </c>
      <c r="CA53" s="14">
        <f>Sales[[#This Row],[MainFn]]*Lookups!$B$78</f>
        <v>142311.92554</v>
      </c>
      <c r="CB53" s="14">
        <f>Sales[[#This Row],[UpprFn]]*Lookups!$B$79</f>
        <v>73176.273300000001</v>
      </c>
      <c r="CC53" s="14">
        <f>Sales[[#This Row],[AddFn]]*Lookups!$B$80</f>
        <v>0</v>
      </c>
      <c r="CD53" s="14">
        <f>Sales[[#This Row],[Bsmt]]*Lookups!$B$81</f>
        <v>0</v>
      </c>
      <c r="CE53" s="14">
        <f>Sales[[#This Row],[Fixtures]]*Lookups!$B$84</f>
        <v>132016.30000000002</v>
      </c>
      <c r="CF53" s="14">
        <f>Sales[[#This Row],[MsnryFP]]*Lookups!$B$82</f>
        <v>25273.623</v>
      </c>
      <c r="CG53" s="14">
        <f>Sales[[#This Row],[PrefabFP]]*Lookups!$B$83</f>
        <v>0</v>
      </c>
      <c r="CH53" s="14">
        <f>Sales[[#This Row],[GarageArea]]*Lookups!$B$85</f>
        <v>42367.223491999997</v>
      </c>
      <c r="CI53" s="14">
        <f>SUM(Sales[[#This Row],[Days Prior Total]:[Mdl GarageArea]])</f>
        <v>912550.23388955474</v>
      </c>
      <c r="CJ53" s="14">
        <f>ROUND(Sales[[#This Row],[25Det]],-2)</f>
        <v>39100</v>
      </c>
      <c r="CK53" s="14">
        <f>ROUND(SUM(Sales[[#This Row],[Mdl Qlty]:[Mdl GarageArea]])+Sales[[#This Row],[Mdl Res Intercept]]+Sales[[#This Row],[Days Prior Total]],-2)</f>
        <v>823400</v>
      </c>
      <c r="CL53" s="14">
        <f>ROUND(Sales[[#This Row],[Mdl Land Intercept]]+Sales[[#This Row],[Mdl LnAcres]],-2)</f>
        <v>89100</v>
      </c>
      <c r="CM53" s="14">
        <f>Sales[[#This Row],[Unadj Res Value]]+Sales[[#This Row],[Unadj Det Value]]+Sales[[#This Row],[Unadj Land Value]]</f>
        <v>951600</v>
      </c>
      <c r="CN53" s="15">
        <f>Sales[[#This Row],[Unadj Total Value]]/Sales[[#This Row],[Price]]</f>
        <v>1.0457142857142858</v>
      </c>
      <c r="CO53" s="15">
        <f>(Sales[[#This Row],[Unadj Total Value]]-Sales[[#This Row],[24Final]])/Sales[[#This Row],[24Final]]</f>
        <v>0.14251410733581463</v>
      </c>
      <c r="CP53">
        <f>VLOOKUP(Sales[[#This Row],[TNbhd]],Lookups!$M$2:$P$4,4,FALSE)</f>
        <v>0.97570000000000001</v>
      </c>
      <c r="CQ53">
        <f>VLOOKUP(Sales[[#This Row],[Qlty]],Lookups!$M$6:$P$20,4,FALSE)</f>
        <v>0.99519999999999997</v>
      </c>
      <c r="CR53">
        <f>VLOOKUP(Sales[[#This Row],[Cnd]],Lookups!$R$6:$U$15,4,FALSE)</f>
        <v>0.9748</v>
      </c>
      <c r="CS53">
        <f>VLOOKUP(Sales[[#This Row],[LivArea Range]],Lookups!$R$23:$U$39,4,FALSE)</f>
        <v>0.99619999999999997</v>
      </c>
      <c r="CT53">
        <f>VLOOKUP(Sales[[#This Row],[Decade]],Lookups!$M$23:$P$35,4,FALSE)</f>
        <v>1.0059</v>
      </c>
      <c r="CU53">
        <f>Sales[[#This Row],[Nbhd Adj]]*0.95</f>
        <v>0.92691499999999993</v>
      </c>
      <c r="CV53">
        <f>Sales[[#This Row],[Nbhd Adj]]*Sales[[#This Row],[Quality Adj]]*Sales[[#This Row],[Condition Adj]]*Sales[[#This Row],[Living Area Adj]]*Sales[[#This Row],[Decade Adj]]*0.95</f>
        <v>0.90108787043964733</v>
      </c>
      <c r="CW53">
        <f>ROUND(SUM(Sales[[#This Row],[Mdl Qlty]:[Mdl GarageArea]])+Sales[[#This Row],[Mdl Res Intercept]]*Sales[[#This Row],[Res Adj ]],-2)</f>
        <v>848100</v>
      </c>
      <c r="CX53">
        <f>ROUND(Sales[[#This Row],[25Det]]*Sales[[#This Row],[Det/Nbhd Adj]],-2)</f>
        <v>36200</v>
      </c>
      <c r="CY53">
        <f>Sales[[#This Row],[Adjusted Res]]+Sales[[#This Row],[Adj Det ]]</f>
        <v>884300</v>
      </c>
      <c r="CZ53">
        <f>ROUND((Sales[[#This Row],[Mdl Land Intercept]]+Sales[[#This Row],[Mdl LnAcres]])*Sales[[#This Row],[Det/Nbhd Adj]],-2)</f>
        <v>82600</v>
      </c>
      <c r="DA53">
        <f>Sales[[#This Row],[Adjusted Impr Total]]+Sales[[#This Row],[Adjusted Land Total]]</f>
        <v>966900</v>
      </c>
      <c r="DB53">
        <f>IFERROR((Sales[[#This Row],[Adjusted Impr Total]]-Sales[[#This Row],[24Bldg]])/Sales[[#This Row],[24Bldg]],0)</f>
        <v>0.32380239520958082</v>
      </c>
      <c r="DC53">
        <f>(Sales[[#This Row],[Adjusted Land Total]]-Sales[[#This Row],[24Lnd]])/Sales[[#This Row],[24Lnd]]</f>
        <v>-0.49909035779260158</v>
      </c>
      <c r="DD53">
        <f>(Sales[[#This Row],[Adjusted Total]]-Sales[[#This Row],[24Final]])/Sales[[#This Row],[24Final]]</f>
        <v>0.16088365950294153</v>
      </c>
      <c r="DE53">
        <f>(Sales[[#This Row],[Adjusted Total]]+Sales[[#This Row],[Days Prior Total]])/Sales[[#This Row],[Price]]</f>
        <v>1.0259593607934065</v>
      </c>
    </row>
    <row r="54" spans="1:109" x14ac:dyDescent="0.3">
      <c r="A54">
        <v>2025</v>
      </c>
      <c r="B54">
        <v>18131733414</v>
      </c>
      <c r="C54">
        <v>-0.59783700075562041</v>
      </c>
      <c r="D54">
        <v>0.55000000000000004</v>
      </c>
      <c r="E54">
        <v>0</v>
      </c>
      <c r="F54">
        <v>1</v>
      </c>
      <c r="G54" t="s">
        <v>89</v>
      </c>
      <c r="H54">
        <v>3041</v>
      </c>
      <c r="I54" t="s">
        <v>302</v>
      </c>
      <c r="J54" t="s">
        <v>110</v>
      </c>
      <c r="K54">
        <v>11</v>
      </c>
      <c r="L54">
        <v>259</v>
      </c>
      <c r="M54" t="s">
        <v>204</v>
      </c>
      <c r="N54" t="s">
        <v>50</v>
      </c>
      <c r="O54" t="s">
        <v>258</v>
      </c>
      <c r="P54">
        <v>1999</v>
      </c>
      <c r="Q54">
        <v>1999</v>
      </c>
      <c r="R54">
        <v>30</v>
      </c>
      <c r="S54">
        <v>25</v>
      </c>
      <c r="T54">
        <v>25</v>
      </c>
      <c r="U54">
        <v>1</v>
      </c>
      <c r="V54">
        <v>3040</v>
      </c>
      <c r="W54">
        <v>0</v>
      </c>
      <c r="X54">
        <v>0</v>
      </c>
      <c r="Y54">
        <v>792</v>
      </c>
      <c r="Z54">
        <v>792</v>
      </c>
      <c r="AA54">
        <v>0</v>
      </c>
      <c r="AB54">
        <v>3832</v>
      </c>
      <c r="AC54">
        <v>4000</v>
      </c>
      <c r="AD54">
        <v>3</v>
      </c>
      <c r="AE54" t="s">
        <v>5</v>
      </c>
      <c r="AF54" t="s">
        <v>275</v>
      </c>
      <c r="AG54" t="s">
        <v>111</v>
      </c>
      <c r="AH54" t="s">
        <v>314</v>
      </c>
      <c r="AI54">
        <v>0</v>
      </c>
      <c r="AJ54">
        <v>0</v>
      </c>
      <c r="AK54">
        <v>1</v>
      </c>
      <c r="AL54">
        <v>2</v>
      </c>
      <c r="AM54">
        <v>0</v>
      </c>
      <c r="AN54">
        <v>18</v>
      </c>
      <c r="AO54">
        <v>912</v>
      </c>
      <c r="AP54">
        <v>0</v>
      </c>
      <c r="AQ54">
        <v>912</v>
      </c>
      <c r="AR54">
        <v>0</v>
      </c>
      <c r="AS54">
        <v>468</v>
      </c>
      <c r="AT54">
        <v>0</v>
      </c>
      <c r="AU54">
        <v>0</v>
      </c>
      <c r="AV54">
        <v>100</v>
      </c>
      <c r="AW54">
        <v>100</v>
      </c>
      <c r="AX54">
        <v>812935</v>
      </c>
      <c r="AY54">
        <v>780418</v>
      </c>
      <c r="AZ54">
        <v>990</v>
      </c>
      <c r="BA54">
        <v>365</v>
      </c>
      <c r="BB54">
        <v>365</v>
      </c>
      <c r="BC54">
        <v>260</v>
      </c>
      <c r="BD54" s="6">
        <v>44302</v>
      </c>
      <c r="BE54" t="s">
        <v>141</v>
      </c>
      <c r="BF54">
        <v>710500</v>
      </c>
      <c r="BG54">
        <v>632658</v>
      </c>
      <c r="BH54" t="s">
        <v>198</v>
      </c>
      <c r="BI54">
        <v>30</v>
      </c>
      <c r="BJ54" t="s">
        <v>51</v>
      </c>
      <c r="BK54" t="s">
        <v>314</v>
      </c>
      <c r="BL54">
        <v>783600</v>
      </c>
      <c r="BM54">
        <v>126600</v>
      </c>
      <c r="BN54">
        <v>657000</v>
      </c>
      <c r="BO54">
        <v>77842</v>
      </c>
      <c r="BP54">
        <v>1.1028852920478536</v>
      </c>
      <c r="BQ54">
        <v>717899.44503201509</v>
      </c>
      <c r="BR54">
        <v>821133.17473559862</v>
      </c>
      <c r="BS54" s="7">
        <f>(BR54-BL54)/BL54</f>
        <v>4.7898385318528094E-2</v>
      </c>
      <c r="BT54" s="14">
        <f>(Sales[[#This Row],[DP1]]*Lookups!$B$51)+(Sales[[#This Row],[DP2]]*Lookups!$B$52)+(Sales[[#This Row],[DP3]]*Lookups!$B$53)</f>
        <v>-103233.73071</v>
      </c>
      <c r="BU54" s="14">
        <f>Lookups!$B$48*0.5</f>
        <v>87214.824999999997</v>
      </c>
      <c r="BV54" s="14">
        <f>Lookups!$B$48*0.5</f>
        <v>87214.824999999997</v>
      </c>
      <c r="BW54" s="14">
        <f>Lookups!$B$49*Sales[[#This Row],[LnAcres]]</f>
        <v>-14962.572388013552</v>
      </c>
      <c r="BX54" s="14">
        <f>VLOOKUP(Sales[[#This Row],[Qlty]],Lookups!$A$54:$E$67,2,FALSE)</f>
        <v>46722.525125</v>
      </c>
      <c r="BY54" s="14">
        <f>VLOOKUP(Sales[[#This Row],[Cnd]],Lookups!$A$68:$E$76,2,FALSE)</f>
        <v>106557.38887</v>
      </c>
      <c r="BZ54" s="14">
        <f>Sales[[#This Row],[Age]]*Lookups!$B$77</f>
        <v>4612.8107499999996</v>
      </c>
      <c r="CA54" s="14">
        <f>Sales[[#This Row],[MainFn]]*Lookups!$B$78</f>
        <v>210013.71536</v>
      </c>
      <c r="CB54" s="14">
        <f>Sales[[#This Row],[UpprFn]]*Lookups!$B$79</f>
        <v>0</v>
      </c>
      <c r="CC54" s="14">
        <f>Sales[[#This Row],[AddFn]]*Lookups!$B$80</f>
        <v>0</v>
      </c>
      <c r="CD54" s="14">
        <f>Sales[[#This Row],[Bsmt]]*Lookups!$B$81</f>
        <v>22658.057135999999</v>
      </c>
      <c r="CE54" s="14">
        <f>Sales[[#This Row],[Fixtures]]*Lookups!$B$84</f>
        <v>182791.80000000002</v>
      </c>
      <c r="CF54" s="14">
        <f>Sales[[#This Row],[MsnryFP]]*Lookups!$B$82</f>
        <v>0</v>
      </c>
      <c r="CG54" s="14">
        <f>Sales[[#This Row],[PrefabFP]]*Lookups!$B$83</f>
        <v>42091.021999999997</v>
      </c>
      <c r="CH54" s="14">
        <f>Sales[[#This Row],[GarageArea]]*Lookups!$B$85</f>
        <v>46218.789263999999</v>
      </c>
      <c r="CI54" s="14">
        <f>SUM(Sales[[#This Row],[Days Prior Total]:[Mdl GarageArea]])</f>
        <v>717899.45540698653</v>
      </c>
      <c r="CJ54" s="14">
        <f>ROUND(Sales[[#This Row],[25Det]],-2)</f>
        <v>77800</v>
      </c>
      <c r="CK54" s="14">
        <f>ROUND(SUM(Sales[[#This Row],[Mdl Qlty]:[Mdl GarageArea]])+Sales[[#This Row],[Mdl Res Intercept]]+Sales[[#This Row],[Days Prior Total]],-2)</f>
        <v>645600</v>
      </c>
      <c r="CL54" s="14">
        <f>ROUND(Sales[[#This Row],[Mdl Land Intercept]]+Sales[[#This Row],[Mdl LnAcres]],-2)</f>
        <v>72300</v>
      </c>
      <c r="CM54" s="14">
        <f>Sales[[#This Row],[Unadj Res Value]]+Sales[[#This Row],[Unadj Det Value]]+Sales[[#This Row],[Unadj Land Value]]</f>
        <v>795700</v>
      </c>
      <c r="CN54" s="15">
        <f>Sales[[#This Row],[Unadj Total Value]]/Sales[[#This Row],[Price]]</f>
        <v>1.1199155524278677</v>
      </c>
      <c r="CO54" s="15">
        <f>(Sales[[#This Row],[Unadj Total Value]]-Sales[[#This Row],[24Final]])/Sales[[#This Row],[24Final]]</f>
        <v>1.5441551812149056E-2</v>
      </c>
      <c r="CP54">
        <f>VLOOKUP(Sales[[#This Row],[TNbhd]],Lookups!$M$2:$P$4,4,FALSE)</f>
        <v>0.97570000000000001</v>
      </c>
      <c r="CQ54">
        <f>VLOOKUP(Sales[[#This Row],[Qlty]],Lookups!$M$6:$P$20,4,FALSE)</f>
        <v>0.98329999999999995</v>
      </c>
      <c r="CR54">
        <f>VLOOKUP(Sales[[#This Row],[Cnd]],Lookups!$R$6:$U$15,4,FALSE)</f>
        <v>0.9748</v>
      </c>
      <c r="CS54">
        <f>VLOOKUP(Sales[[#This Row],[LivArea Range]],Lookups!$R$23:$U$39,4,FALSE)</f>
        <v>1.034</v>
      </c>
      <c r="CT54">
        <f>VLOOKUP(Sales[[#This Row],[Decade]],Lookups!$M$23:$P$35,4,FALSE)</f>
        <v>1.0059</v>
      </c>
      <c r="CU54">
        <f>Sales[[#This Row],[Nbhd Adj]]*0.95</f>
        <v>0.92691499999999993</v>
      </c>
      <c r="CV54">
        <f>Sales[[#This Row],[Nbhd Adj]]*Sales[[#This Row],[Quality Adj]]*Sales[[#This Row],[Condition Adj]]*Sales[[#This Row],[Living Area Adj]]*Sales[[#This Row],[Decade Adj]]*0.95</f>
        <v>0.92409541799979145</v>
      </c>
      <c r="CW54">
        <f>ROUND(SUM(Sales[[#This Row],[Mdl Qlty]:[Mdl GarageArea]])+Sales[[#This Row],[Mdl Res Intercept]]*Sales[[#This Row],[Res Adj ]],-2)</f>
        <v>742300</v>
      </c>
      <c r="CX54">
        <f>ROUND(Sales[[#This Row],[25Det]]*Sales[[#This Row],[Det/Nbhd Adj]],-2)</f>
        <v>72200</v>
      </c>
      <c r="CY54">
        <f>Sales[[#This Row],[Adjusted Res]]+Sales[[#This Row],[Adj Det ]]</f>
        <v>814500</v>
      </c>
      <c r="CZ54">
        <f>ROUND((Sales[[#This Row],[Mdl Land Intercept]]+Sales[[#This Row],[Mdl LnAcres]])*Sales[[#This Row],[Det/Nbhd Adj]],-2)</f>
        <v>67000</v>
      </c>
      <c r="DA54">
        <f>Sales[[#This Row],[Adjusted Impr Total]]+Sales[[#This Row],[Adjusted Land Total]]</f>
        <v>881500</v>
      </c>
      <c r="DB54">
        <f>IFERROR((Sales[[#This Row],[Adjusted Impr Total]]-Sales[[#This Row],[24Bldg]])/Sales[[#This Row],[24Bldg]],0)</f>
        <v>0.23972602739726026</v>
      </c>
      <c r="DC54">
        <f>(Sales[[#This Row],[Adjusted Land Total]]-Sales[[#This Row],[24Lnd]])/Sales[[#This Row],[24Lnd]]</f>
        <v>-0.47077409162717221</v>
      </c>
      <c r="DD54">
        <f>(Sales[[#This Row],[Adjusted Total]]-Sales[[#This Row],[24Final]])/Sales[[#This Row],[24Final]]</f>
        <v>0.12493619193466055</v>
      </c>
      <c r="DE54">
        <f>(Sales[[#This Row],[Adjusted Total]]+Sales[[#This Row],[Days Prior Total]])/Sales[[#This Row],[Price]]</f>
        <v>1.0953782819000704</v>
      </c>
    </row>
    <row r="55" spans="1:109" x14ac:dyDescent="0.3">
      <c r="A55">
        <v>2025</v>
      </c>
      <c r="B55">
        <v>18131741420</v>
      </c>
      <c r="C55">
        <v>-0.52763274208237199</v>
      </c>
      <c r="D55">
        <v>0.59</v>
      </c>
      <c r="E55">
        <v>25559</v>
      </c>
      <c r="F55">
        <v>1</v>
      </c>
      <c r="G55" t="s">
        <v>89</v>
      </c>
      <c r="H55" t="s">
        <v>203</v>
      </c>
      <c r="I55" t="s">
        <v>302</v>
      </c>
      <c r="J55" t="s">
        <v>110</v>
      </c>
      <c r="K55">
        <v>11</v>
      </c>
      <c r="L55">
        <v>259</v>
      </c>
      <c r="M55" t="s">
        <v>313</v>
      </c>
      <c r="N55" t="s">
        <v>189</v>
      </c>
      <c r="O55" t="s">
        <v>258</v>
      </c>
      <c r="P55">
        <v>1999</v>
      </c>
      <c r="Q55">
        <v>1999</v>
      </c>
      <c r="R55">
        <v>30</v>
      </c>
      <c r="S55">
        <v>25</v>
      </c>
      <c r="T55">
        <v>25</v>
      </c>
      <c r="U55">
        <v>2</v>
      </c>
      <c r="V55">
        <v>2241</v>
      </c>
      <c r="W55">
        <v>1404</v>
      </c>
      <c r="X55">
        <v>0</v>
      </c>
      <c r="Y55">
        <v>0</v>
      </c>
      <c r="Z55">
        <v>0</v>
      </c>
      <c r="AA55">
        <v>0</v>
      </c>
      <c r="AB55">
        <v>3645</v>
      </c>
      <c r="AC55">
        <v>4000</v>
      </c>
      <c r="AD55">
        <v>0</v>
      </c>
      <c r="AE55" t="s">
        <v>5</v>
      </c>
      <c r="AF55" t="s">
        <v>275</v>
      </c>
      <c r="AG55" t="s">
        <v>111</v>
      </c>
      <c r="AH55" t="s">
        <v>314</v>
      </c>
      <c r="AI55">
        <v>0</v>
      </c>
      <c r="AJ55">
        <v>2</v>
      </c>
      <c r="AK55">
        <v>0</v>
      </c>
      <c r="AL55">
        <v>0</v>
      </c>
      <c r="AM55">
        <v>1</v>
      </c>
      <c r="AN55">
        <v>15</v>
      </c>
      <c r="AO55">
        <v>887</v>
      </c>
      <c r="AP55">
        <v>0</v>
      </c>
      <c r="AQ55">
        <v>887</v>
      </c>
      <c r="AR55">
        <v>0</v>
      </c>
      <c r="AS55">
        <v>0</v>
      </c>
      <c r="AT55">
        <v>1281</v>
      </c>
      <c r="AU55">
        <v>0</v>
      </c>
      <c r="AV55">
        <v>100</v>
      </c>
      <c r="AW55">
        <v>100</v>
      </c>
      <c r="AX55">
        <v>907507</v>
      </c>
      <c r="AY55">
        <v>871207</v>
      </c>
      <c r="AZ55">
        <v>1063</v>
      </c>
      <c r="BA55">
        <v>365</v>
      </c>
      <c r="BB55">
        <v>365</v>
      </c>
      <c r="BC55">
        <v>333</v>
      </c>
      <c r="BD55" s="6">
        <v>44229</v>
      </c>
      <c r="BE55" t="s">
        <v>195</v>
      </c>
      <c r="BF55">
        <v>742000</v>
      </c>
      <c r="BG55">
        <v>685513</v>
      </c>
      <c r="BH55" t="s">
        <v>198</v>
      </c>
      <c r="BI55">
        <v>30</v>
      </c>
      <c r="BJ55" t="s">
        <v>51</v>
      </c>
      <c r="BK55" t="s">
        <v>314</v>
      </c>
      <c r="BL55">
        <v>788200</v>
      </c>
      <c r="BM55">
        <v>130600</v>
      </c>
      <c r="BN55">
        <v>657600</v>
      </c>
      <c r="BO55">
        <v>56487</v>
      </c>
      <c r="BP55">
        <v>1.0622641509433963</v>
      </c>
      <c r="BQ55">
        <v>776902.10599380836</v>
      </c>
      <c r="BR55">
        <v>902662.61721764645</v>
      </c>
      <c r="BS55" s="7">
        <f>(BR55-BL55)/BL55</f>
        <v>0.1452202705121117</v>
      </c>
      <c r="BT55" s="14">
        <f>(Sales[[#This Row],[DP1]]*Lookups!$B$51)+(Sales[[#This Row],[DP2]]*Lookups!$B$52)+(Sales[[#This Row],[DP3]]*Lookups!$B$53)</f>
        <v>-125760.50871000001</v>
      </c>
      <c r="BU55" s="14">
        <f>Lookups!$B$48*0.5</f>
        <v>87214.824999999997</v>
      </c>
      <c r="BV55" s="14">
        <f>Lookups!$B$48*0.5</f>
        <v>87214.824999999997</v>
      </c>
      <c r="BW55" s="14">
        <f>Lookups!$B$49*Sales[[#This Row],[LnAcres]]</f>
        <v>-13205.511013395326</v>
      </c>
      <c r="BX55" s="14">
        <f>VLOOKUP(Sales[[#This Row],[Qlty]],Lookups!$A$54:$E$67,2,FALSE)</f>
        <v>141724.10243</v>
      </c>
      <c r="BY55" s="14">
        <f>VLOOKUP(Sales[[#This Row],[Cnd]],Lookups!$A$68:$E$76,2,FALSE)</f>
        <v>106557.38887</v>
      </c>
      <c r="BZ55" s="14">
        <f>Sales[[#This Row],[Age]]*Lookups!$B$77</f>
        <v>4612.8107499999996</v>
      </c>
      <c r="CA55" s="14">
        <f>Sales[[#This Row],[MainFn]]*Lookups!$B$78</f>
        <v>154816.03161900002</v>
      </c>
      <c r="CB55" s="14">
        <f>Sales[[#This Row],[UpprFn]]*Lookups!$B$79</f>
        <v>85902.58170000001</v>
      </c>
      <c r="CC55" s="14">
        <f>Sales[[#This Row],[AddFn]]*Lookups!$B$80</f>
        <v>0</v>
      </c>
      <c r="CD55" s="14">
        <f>Sales[[#This Row],[Bsmt]]*Lookups!$B$81</f>
        <v>0</v>
      </c>
      <c r="CE55" s="14">
        <f>Sales[[#This Row],[Fixtures]]*Lookups!$B$84</f>
        <v>152326.5</v>
      </c>
      <c r="CF55" s="14">
        <f>Sales[[#This Row],[MsnryFP]]*Lookups!$B$82</f>
        <v>50547.245999999999</v>
      </c>
      <c r="CG55" s="14">
        <f>Sales[[#This Row],[PrefabFP]]*Lookups!$B$83</f>
        <v>0</v>
      </c>
      <c r="CH55" s="14">
        <f>Sales[[#This Row],[GarageArea]]*Lookups!$B$85</f>
        <v>44951.826839000001</v>
      </c>
      <c r="CI55" s="14">
        <f>SUM(Sales[[#This Row],[Days Prior Total]:[Mdl GarageArea]])</f>
        <v>776902.11848460475</v>
      </c>
      <c r="CJ55" s="14">
        <f>ROUND(Sales[[#This Row],[25Det]],-2)</f>
        <v>56500</v>
      </c>
      <c r="CK55" s="14">
        <f>ROUND(SUM(Sales[[#This Row],[Mdl Qlty]:[Mdl GarageArea]])+Sales[[#This Row],[Mdl Res Intercept]]+Sales[[#This Row],[Days Prior Total]],-2)</f>
        <v>702900</v>
      </c>
      <c r="CL55" s="14">
        <f>ROUND(Sales[[#This Row],[Mdl Land Intercept]]+Sales[[#This Row],[Mdl LnAcres]],-2)</f>
        <v>74000</v>
      </c>
      <c r="CM55" s="14">
        <f>Sales[[#This Row],[Unadj Res Value]]+Sales[[#This Row],[Unadj Det Value]]+Sales[[#This Row],[Unadj Land Value]]</f>
        <v>833400</v>
      </c>
      <c r="CN55" s="15">
        <f>Sales[[#This Row],[Unadj Total Value]]/Sales[[#This Row],[Price]]</f>
        <v>1.1231805929919136</v>
      </c>
      <c r="CO55" s="15">
        <f>(Sales[[#This Row],[Unadj Total Value]]-Sales[[#This Row],[24Final]])/Sales[[#This Row],[24Final]]</f>
        <v>5.7345851306774928E-2</v>
      </c>
      <c r="CP55">
        <f>VLOOKUP(Sales[[#This Row],[TNbhd]],Lookups!$M$2:$P$4,4,FALSE)</f>
        <v>0.97570000000000001</v>
      </c>
      <c r="CQ55">
        <f>VLOOKUP(Sales[[#This Row],[Qlty]],Lookups!$M$6:$P$20,4,FALSE)</f>
        <v>1.0051000000000001</v>
      </c>
      <c r="CR55">
        <f>VLOOKUP(Sales[[#This Row],[Cnd]],Lookups!$R$6:$U$15,4,FALSE)</f>
        <v>0.9748</v>
      </c>
      <c r="CS55">
        <f>VLOOKUP(Sales[[#This Row],[LivArea Range]],Lookups!$R$23:$U$39,4,FALSE)</f>
        <v>1.034</v>
      </c>
      <c r="CT55">
        <f>VLOOKUP(Sales[[#This Row],[Decade]],Lookups!$M$23:$P$35,4,FALSE)</f>
        <v>1.0059</v>
      </c>
      <c r="CU55">
        <f>Sales[[#This Row],[Nbhd Adj]]*0.95</f>
        <v>0.92691499999999993</v>
      </c>
      <c r="CV55">
        <f>Sales[[#This Row],[Nbhd Adj]]*Sales[[#This Row],[Quality Adj]]*Sales[[#This Row],[Condition Adj]]*Sales[[#This Row],[Living Area Adj]]*Sales[[#This Row],[Decade Adj]]*0.95</f>
        <v>0.94458283802663534</v>
      </c>
      <c r="CW55">
        <f>ROUND(SUM(Sales[[#This Row],[Mdl Qlty]:[Mdl GarageArea]])+Sales[[#This Row],[Mdl Res Intercept]]*Sales[[#This Row],[Res Adj ]],-2)</f>
        <v>823800</v>
      </c>
      <c r="CX55">
        <f>ROUND(Sales[[#This Row],[25Det]]*Sales[[#This Row],[Det/Nbhd Adj]],-2)</f>
        <v>52400</v>
      </c>
      <c r="CY55">
        <f>Sales[[#This Row],[Adjusted Res]]+Sales[[#This Row],[Adj Det ]]</f>
        <v>876200</v>
      </c>
      <c r="CZ55">
        <f>ROUND((Sales[[#This Row],[Mdl Land Intercept]]+Sales[[#This Row],[Mdl LnAcres]])*Sales[[#This Row],[Det/Nbhd Adj]],-2)</f>
        <v>68600</v>
      </c>
      <c r="DA55">
        <f>Sales[[#This Row],[Adjusted Impr Total]]+Sales[[#This Row],[Adjusted Land Total]]</f>
        <v>944800</v>
      </c>
      <c r="DB55">
        <f>IFERROR((Sales[[#This Row],[Adjusted Impr Total]]-Sales[[#This Row],[24Bldg]])/Sales[[#This Row],[24Bldg]],0)</f>
        <v>0.33242092457420924</v>
      </c>
      <c r="DC55">
        <f>(Sales[[#This Row],[Adjusted Land Total]]-Sales[[#This Row],[24Lnd]])/Sales[[#This Row],[24Lnd]]</f>
        <v>-0.47473200612557426</v>
      </c>
      <c r="DD55">
        <f>(Sales[[#This Row],[Adjusted Total]]-Sales[[#This Row],[24Final]])/Sales[[#This Row],[24Final]]</f>
        <v>0.19868053793453438</v>
      </c>
      <c r="DE55">
        <f>(Sales[[#This Row],[Adjusted Total]]+Sales[[#This Row],[Days Prior Total]])/Sales[[#This Row],[Price]]</f>
        <v>1.1038268076684636</v>
      </c>
    </row>
    <row r="56" spans="1:109" x14ac:dyDescent="0.3">
      <c r="A56">
        <v>2025</v>
      </c>
      <c r="B56">
        <v>18131741420</v>
      </c>
      <c r="C56">
        <v>-0.52763274208237199</v>
      </c>
      <c r="D56">
        <v>0.59</v>
      </c>
      <c r="E56">
        <v>25559</v>
      </c>
      <c r="F56">
        <v>1</v>
      </c>
      <c r="G56" t="s">
        <v>89</v>
      </c>
      <c r="H56">
        <v>3041</v>
      </c>
      <c r="I56" t="s">
        <v>302</v>
      </c>
      <c r="J56" t="s">
        <v>110</v>
      </c>
      <c r="K56">
        <v>11</v>
      </c>
      <c r="L56">
        <v>331</v>
      </c>
      <c r="M56" t="s">
        <v>313</v>
      </c>
      <c r="N56" t="s">
        <v>230</v>
      </c>
      <c r="O56" t="s">
        <v>207</v>
      </c>
      <c r="P56">
        <v>1999</v>
      </c>
      <c r="Q56">
        <v>1999</v>
      </c>
      <c r="R56">
        <v>30</v>
      </c>
      <c r="S56">
        <v>25</v>
      </c>
      <c r="T56">
        <v>25</v>
      </c>
      <c r="U56">
        <v>2</v>
      </c>
      <c r="V56">
        <v>2241</v>
      </c>
      <c r="W56">
        <v>1404</v>
      </c>
      <c r="X56">
        <v>0</v>
      </c>
      <c r="Y56">
        <v>0</v>
      </c>
      <c r="Z56">
        <v>0</v>
      </c>
      <c r="AA56">
        <v>0</v>
      </c>
      <c r="AB56">
        <v>3645</v>
      </c>
      <c r="AC56">
        <v>4000</v>
      </c>
      <c r="AD56">
        <v>3</v>
      </c>
      <c r="AE56" t="s">
        <v>5</v>
      </c>
      <c r="AF56" t="s">
        <v>275</v>
      </c>
      <c r="AG56" t="s">
        <v>111</v>
      </c>
      <c r="AH56" t="s">
        <v>314</v>
      </c>
      <c r="AI56">
        <v>0</v>
      </c>
      <c r="AJ56">
        <v>0</v>
      </c>
      <c r="AK56">
        <v>2</v>
      </c>
      <c r="AL56">
        <v>0</v>
      </c>
      <c r="AM56">
        <v>1</v>
      </c>
      <c r="AN56">
        <v>15</v>
      </c>
      <c r="AO56">
        <v>887</v>
      </c>
      <c r="AP56">
        <v>0</v>
      </c>
      <c r="AQ56">
        <v>887</v>
      </c>
      <c r="AR56">
        <v>0</v>
      </c>
      <c r="AS56">
        <v>0</v>
      </c>
      <c r="AT56">
        <v>1281</v>
      </c>
      <c r="AU56">
        <v>0</v>
      </c>
      <c r="AV56">
        <v>100</v>
      </c>
      <c r="AW56">
        <v>100</v>
      </c>
      <c r="AX56">
        <v>1357041</v>
      </c>
      <c r="AY56">
        <v>1289189</v>
      </c>
      <c r="AZ56">
        <v>179</v>
      </c>
      <c r="BA56">
        <v>179</v>
      </c>
      <c r="BB56">
        <v>0</v>
      </c>
      <c r="BC56">
        <v>0</v>
      </c>
      <c r="BD56" s="6">
        <v>45113</v>
      </c>
      <c r="BE56" t="s">
        <v>287</v>
      </c>
      <c r="BF56">
        <v>1200000</v>
      </c>
      <c r="BG56">
        <v>1143513</v>
      </c>
      <c r="BH56" t="s">
        <v>198</v>
      </c>
      <c r="BI56">
        <v>30</v>
      </c>
      <c r="BJ56" t="s">
        <v>51</v>
      </c>
      <c r="BK56" t="s">
        <v>314</v>
      </c>
      <c r="BL56">
        <v>788200</v>
      </c>
      <c r="BM56">
        <v>130600</v>
      </c>
      <c r="BN56">
        <v>657600</v>
      </c>
      <c r="BO56">
        <v>56487</v>
      </c>
      <c r="BP56">
        <v>0.65683333333333338</v>
      </c>
      <c r="BQ56">
        <v>1226220.5760104805</v>
      </c>
      <c r="BR56">
        <v>1254531.5673377723</v>
      </c>
      <c r="BS56" s="7">
        <f>(BR56-BL56)/BL56</f>
        <v>0.59164116637626529</v>
      </c>
      <c r="BT56" s="14">
        <f>(Sales[[#This Row],[DP1]]*Lookups!$B$51)+(Sales[[#This Row],[DP2]]*Lookups!$B$52)+(Sales[[#This Row],[DP3]]*Lookups!$B$53)</f>
        <v>-28310.998</v>
      </c>
      <c r="BU56" s="14">
        <f>Lookups!$B$48*0.5</f>
        <v>87214.824999999997</v>
      </c>
      <c r="BV56" s="14">
        <f>Lookups!$B$48*0.5</f>
        <v>87214.824999999997</v>
      </c>
      <c r="BW56" s="14">
        <f>Lookups!$B$49*Sales[[#This Row],[LnAcres]]</f>
        <v>-13205.511013395326</v>
      </c>
      <c r="BX56" s="14">
        <f>VLOOKUP(Sales[[#This Row],[Qlty]],Lookups!$A$54:$E$67,2,FALSE)</f>
        <v>519241.74659</v>
      </c>
      <c r="BY56" s="14">
        <f>VLOOKUP(Sales[[#This Row],[Cnd]],Lookups!$A$68:$E$76,2,FALSE)</f>
        <v>47273.897095</v>
      </c>
      <c r="BZ56" s="14">
        <f>Sales[[#This Row],[Age]]*Lookups!$B$77</f>
        <v>4612.8107499999996</v>
      </c>
      <c r="CA56" s="14">
        <f>Sales[[#This Row],[MainFn]]*Lookups!$B$78</f>
        <v>154816.03161900002</v>
      </c>
      <c r="CB56" s="14">
        <f>Sales[[#This Row],[UpprFn]]*Lookups!$B$79</f>
        <v>85902.58170000001</v>
      </c>
      <c r="CC56" s="14">
        <f>Sales[[#This Row],[AddFn]]*Lookups!$B$80</f>
        <v>0</v>
      </c>
      <c r="CD56" s="14">
        <f>Sales[[#This Row],[Bsmt]]*Lookups!$B$81</f>
        <v>0</v>
      </c>
      <c r="CE56" s="14">
        <f>Sales[[#This Row],[Fixtures]]*Lookups!$B$84</f>
        <v>152326.5</v>
      </c>
      <c r="CF56" s="14">
        <f>Sales[[#This Row],[MsnryFP]]*Lookups!$B$82</f>
        <v>0</v>
      </c>
      <c r="CG56" s="14">
        <f>Sales[[#This Row],[PrefabFP]]*Lookups!$B$83</f>
        <v>84182.043999999994</v>
      </c>
      <c r="CH56" s="14">
        <f>Sales[[#This Row],[GarageArea]]*Lookups!$B$85</f>
        <v>44951.826839000001</v>
      </c>
      <c r="CI56" s="14">
        <f>SUM(Sales[[#This Row],[Days Prior Total]:[Mdl GarageArea]])</f>
        <v>1226220.5795796046</v>
      </c>
      <c r="CJ56" s="14">
        <f>ROUND(Sales[[#This Row],[25Det]],-2)</f>
        <v>56500</v>
      </c>
      <c r="CK56" s="14">
        <f>ROUND(SUM(Sales[[#This Row],[Mdl Qlty]:[Mdl GarageArea]])+Sales[[#This Row],[Mdl Res Intercept]]+Sales[[#This Row],[Days Prior Total]],-2)</f>
        <v>1152200</v>
      </c>
      <c r="CL56" s="14">
        <f>ROUND(Sales[[#This Row],[Mdl Land Intercept]]+Sales[[#This Row],[Mdl LnAcres]],-2)</f>
        <v>74000</v>
      </c>
      <c r="CM56" s="14">
        <f>Sales[[#This Row],[Unadj Res Value]]+Sales[[#This Row],[Unadj Det Value]]+Sales[[#This Row],[Unadj Land Value]]</f>
        <v>1282700</v>
      </c>
      <c r="CN56" s="15">
        <f>Sales[[#This Row],[Unadj Total Value]]/Sales[[#This Row],[Price]]</f>
        <v>1.0689166666666667</v>
      </c>
      <c r="CO56" s="15">
        <f>(Sales[[#This Row],[Unadj Total Value]]-Sales[[#This Row],[24Final]])/Sales[[#This Row],[24Final]]</f>
        <v>0.62737883785841153</v>
      </c>
      <c r="CP56">
        <f>VLOOKUP(Sales[[#This Row],[TNbhd]],Lookups!$M$2:$P$4,4,FALSE)</f>
        <v>0.97570000000000001</v>
      </c>
      <c r="CQ56">
        <f>VLOOKUP(Sales[[#This Row],[Qlty]],Lookups!$M$6:$P$20,4,FALSE)</f>
        <v>0.99960000000000004</v>
      </c>
      <c r="CR56">
        <f>VLOOKUP(Sales[[#This Row],[Cnd]],Lookups!$R$6:$U$15,4,FALSE)</f>
        <v>0.97829999999999995</v>
      </c>
      <c r="CS56">
        <f>VLOOKUP(Sales[[#This Row],[LivArea Range]],Lookups!$R$23:$U$39,4,FALSE)</f>
        <v>1.034</v>
      </c>
      <c r="CT56">
        <f>VLOOKUP(Sales[[#This Row],[Decade]],Lookups!$M$23:$P$35,4,FALSE)</f>
        <v>1.0059</v>
      </c>
      <c r="CU56">
        <f>Sales[[#This Row],[Nbhd Adj]]*0.95</f>
        <v>0.92691499999999993</v>
      </c>
      <c r="CV56">
        <f>Sales[[#This Row],[Nbhd Adj]]*Sales[[#This Row],[Quality Adj]]*Sales[[#This Row],[Condition Adj]]*Sales[[#This Row],[Living Area Adj]]*Sales[[#This Row],[Decade Adj]]*0.95</f>
        <v>0.94278694077243463</v>
      </c>
      <c r="CW56">
        <f>ROUND(SUM(Sales[[#This Row],[Mdl Qlty]:[Mdl GarageArea]])+Sales[[#This Row],[Mdl Res Intercept]]*Sales[[#This Row],[Res Adj ]],-2)</f>
        <v>1175500</v>
      </c>
      <c r="CX56">
        <f>ROUND(Sales[[#This Row],[25Det]]*Sales[[#This Row],[Det/Nbhd Adj]],-2)</f>
        <v>52400</v>
      </c>
      <c r="CY56">
        <f>Sales[[#This Row],[Adjusted Res]]+Sales[[#This Row],[Adj Det ]]</f>
        <v>1227900</v>
      </c>
      <c r="CZ56">
        <f>ROUND((Sales[[#This Row],[Mdl Land Intercept]]+Sales[[#This Row],[Mdl LnAcres]])*Sales[[#This Row],[Det/Nbhd Adj]],-2)</f>
        <v>68600</v>
      </c>
      <c r="DA56">
        <f>Sales[[#This Row],[Adjusted Impr Total]]+Sales[[#This Row],[Adjusted Land Total]]</f>
        <v>1296500</v>
      </c>
      <c r="DB56">
        <f>IFERROR((Sales[[#This Row],[Adjusted Impr Total]]-Sales[[#This Row],[24Bldg]])/Sales[[#This Row],[24Bldg]],0)</f>
        <v>0.86724452554744524</v>
      </c>
      <c r="DC56">
        <f>(Sales[[#This Row],[Adjusted Land Total]]-Sales[[#This Row],[24Lnd]])/Sales[[#This Row],[24Lnd]]</f>
        <v>-0.47473200612557426</v>
      </c>
      <c r="DD56">
        <f>(Sales[[#This Row],[Adjusted Total]]-Sales[[#This Row],[24Final]])/Sales[[#This Row],[24Final]]</f>
        <v>0.64488708449632071</v>
      </c>
      <c r="DE56">
        <f>(Sales[[#This Row],[Adjusted Total]]+Sales[[#This Row],[Days Prior Total]])/Sales[[#This Row],[Price]]</f>
        <v>1.0568241683333335</v>
      </c>
    </row>
    <row r="57" spans="1:109" x14ac:dyDescent="0.3">
      <c r="A57">
        <v>2025</v>
      </c>
      <c r="B57">
        <v>18131731417</v>
      </c>
      <c r="C57">
        <v>-0.35667494393873245</v>
      </c>
      <c r="D57">
        <v>0.7</v>
      </c>
      <c r="E57">
        <v>0</v>
      </c>
      <c r="F57">
        <v>1</v>
      </c>
      <c r="G57" t="s">
        <v>89</v>
      </c>
      <c r="H57" t="s">
        <v>203</v>
      </c>
      <c r="I57" t="s">
        <v>302</v>
      </c>
      <c r="J57" t="s">
        <v>110</v>
      </c>
      <c r="K57">
        <v>11</v>
      </c>
      <c r="L57">
        <v>259</v>
      </c>
      <c r="M57" t="s">
        <v>204</v>
      </c>
      <c r="N57" t="s">
        <v>111</v>
      </c>
      <c r="O57" t="s">
        <v>207</v>
      </c>
      <c r="P57">
        <v>1998</v>
      </c>
      <c r="Q57">
        <v>1998</v>
      </c>
      <c r="R57">
        <v>30</v>
      </c>
      <c r="S57">
        <v>26</v>
      </c>
      <c r="T57">
        <v>26</v>
      </c>
      <c r="U57">
        <v>1</v>
      </c>
      <c r="V57">
        <v>2993</v>
      </c>
      <c r="W57">
        <v>0</v>
      </c>
      <c r="X57">
        <v>0</v>
      </c>
      <c r="Y57">
        <v>0</v>
      </c>
      <c r="Z57">
        <v>0</v>
      </c>
      <c r="AA57">
        <v>0</v>
      </c>
      <c r="AB57">
        <v>2993</v>
      </c>
      <c r="AC57">
        <v>3000</v>
      </c>
      <c r="AD57">
        <v>3</v>
      </c>
      <c r="AE57" t="s">
        <v>5</v>
      </c>
      <c r="AF57" t="s">
        <v>275</v>
      </c>
      <c r="AG57" t="s">
        <v>274</v>
      </c>
      <c r="AH57" t="s">
        <v>314</v>
      </c>
      <c r="AI57">
        <v>0</v>
      </c>
      <c r="AJ57">
        <v>0</v>
      </c>
      <c r="AK57">
        <v>1</v>
      </c>
      <c r="AL57">
        <v>1</v>
      </c>
      <c r="AM57">
        <v>1</v>
      </c>
      <c r="AN57">
        <v>13</v>
      </c>
      <c r="AO57">
        <v>1327</v>
      </c>
      <c r="AP57">
        <v>0</v>
      </c>
      <c r="AQ57">
        <v>1327</v>
      </c>
      <c r="AR57">
        <v>0</v>
      </c>
      <c r="AS57">
        <v>0</v>
      </c>
      <c r="AT57">
        <v>180</v>
      </c>
      <c r="AU57">
        <v>0</v>
      </c>
      <c r="AV57">
        <v>100</v>
      </c>
      <c r="AW57">
        <v>100</v>
      </c>
      <c r="AX57">
        <v>594021</v>
      </c>
      <c r="AY57">
        <v>534619</v>
      </c>
      <c r="AZ57">
        <v>461</v>
      </c>
      <c r="BA57">
        <v>365</v>
      </c>
      <c r="BB57">
        <v>96</v>
      </c>
      <c r="BC57">
        <v>0</v>
      </c>
      <c r="BD57" s="6">
        <v>44831</v>
      </c>
      <c r="BE57" t="s">
        <v>64</v>
      </c>
      <c r="BF57">
        <v>700000</v>
      </c>
      <c r="BG57">
        <v>689264</v>
      </c>
      <c r="BH57" t="s">
        <v>198</v>
      </c>
      <c r="BI57">
        <v>30</v>
      </c>
      <c r="BJ57" t="s">
        <v>51</v>
      </c>
      <c r="BK57" t="s">
        <v>314</v>
      </c>
      <c r="BL57">
        <v>573800</v>
      </c>
      <c r="BM57">
        <v>140300</v>
      </c>
      <c r="BN57">
        <v>433500</v>
      </c>
      <c r="BO57">
        <v>10736</v>
      </c>
      <c r="BP57">
        <v>0.81971428571428573</v>
      </c>
      <c r="BQ57">
        <v>602773.60097982245</v>
      </c>
      <c r="BR57">
        <v>651368.84097378259</v>
      </c>
      <c r="BS57" s="7">
        <f>(BR57-BL57)/BL57</f>
        <v>0.13518445621084452</v>
      </c>
      <c r="BT57" s="14">
        <f>(Sales[[#This Row],[DP1]]*Lookups!$B$51)+(Sales[[#This Row],[DP2]]*Lookups!$B$52)+(Sales[[#This Row],[DP3]]*Lookups!$B$53)</f>
        <v>-48595.253584000006</v>
      </c>
      <c r="BU57" s="14">
        <f>Lookups!$B$48*0.5</f>
        <v>87214.824999999997</v>
      </c>
      <c r="BV57" s="14">
        <f>Lookups!$B$48*0.5</f>
        <v>87214.824999999997</v>
      </c>
      <c r="BW57" s="14">
        <f>Lookups!$B$49*Sales[[#This Row],[LnAcres]]</f>
        <v>-8926.8055689572302</v>
      </c>
      <c r="BX57" s="14">
        <f>VLOOKUP(Sales[[#This Row],[Qlty]],Lookups!$A$54:$E$67,2,FALSE)</f>
        <v>-14329.694740000001</v>
      </c>
      <c r="BY57" s="14">
        <f>VLOOKUP(Sales[[#This Row],[Cnd]],Lookups!$A$68:$E$76,2,FALSE)</f>
        <v>47273.897095</v>
      </c>
      <c r="BZ57" s="14">
        <f>Sales[[#This Row],[Age]]*Lookups!$B$77</f>
        <v>4797.3231799999994</v>
      </c>
      <c r="CA57" s="14">
        <f>Sales[[#This Row],[MainFn]]*Lookups!$B$78</f>
        <v>206766.79278700001</v>
      </c>
      <c r="CB57" s="14">
        <f>Sales[[#This Row],[UpprFn]]*Lookups!$B$79</f>
        <v>0</v>
      </c>
      <c r="CC57" s="14">
        <f>Sales[[#This Row],[AddFn]]*Lookups!$B$80</f>
        <v>0</v>
      </c>
      <c r="CD57" s="14">
        <f>Sales[[#This Row],[Bsmt]]*Lookups!$B$81</f>
        <v>0</v>
      </c>
      <c r="CE57" s="14">
        <f>Sales[[#This Row],[Fixtures]]*Lookups!$B$84</f>
        <v>132016.30000000002</v>
      </c>
      <c r="CF57" s="14">
        <f>Sales[[#This Row],[MsnryFP]]*Lookups!$B$82</f>
        <v>0</v>
      </c>
      <c r="CG57" s="14">
        <f>Sales[[#This Row],[PrefabFP]]*Lookups!$B$83</f>
        <v>42091.021999999997</v>
      </c>
      <c r="CH57" s="14">
        <f>Sales[[#This Row],[GarageArea]]*Lookups!$B$85</f>
        <v>67250.365518999999</v>
      </c>
      <c r="CI57" s="14">
        <f>SUM(Sales[[#This Row],[Days Prior Total]:[Mdl GarageArea]])</f>
        <v>602773.59668804274</v>
      </c>
      <c r="CJ57" s="14">
        <f>ROUND(Sales[[#This Row],[25Det]],-2)</f>
        <v>10700</v>
      </c>
      <c r="CK57" s="14">
        <f>ROUND(SUM(Sales[[#This Row],[Mdl Qlty]:[Mdl GarageArea]])+Sales[[#This Row],[Mdl Res Intercept]]+Sales[[#This Row],[Days Prior Total]],-2)</f>
        <v>524500</v>
      </c>
      <c r="CL57" s="14">
        <f>ROUND(Sales[[#This Row],[Mdl Land Intercept]]+Sales[[#This Row],[Mdl LnAcres]],-2)</f>
        <v>78300</v>
      </c>
      <c r="CM57" s="14">
        <f>Sales[[#This Row],[Unadj Res Value]]+Sales[[#This Row],[Unadj Det Value]]+Sales[[#This Row],[Unadj Land Value]]</f>
        <v>613500</v>
      </c>
      <c r="CN57" s="15">
        <f>Sales[[#This Row],[Unadj Total Value]]/Sales[[#This Row],[Price]]</f>
        <v>0.87642857142857145</v>
      </c>
      <c r="CO57" s="15">
        <f>(Sales[[#This Row],[Unadj Total Value]]-Sales[[#This Row],[24Final]])/Sales[[#This Row],[24Final]]</f>
        <v>6.9187870338096896E-2</v>
      </c>
      <c r="CP57">
        <f>VLOOKUP(Sales[[#This Row],[TNbhd]],Lookups!$M$2:$P$4,4,FALSE)</f>
        <v>0.97570000000000001</v>
      </c>
      <c r="CQ57">
        <f>VLOOKUP(Sales[[#This Row],[Qlty]],Lookups!$M$6:$P$20,4,FALSE)</f>
        <v>0.98809999999999998</v>
      </c>
      <c r="CR57">
        <f>VLOOKUP(Sales[[#This Row],[Cnd]],Lookups!$R$6:$U$15,4,FALSE)</f>
        <v>0.97829999999999995</v>
      </c>
      <c r="CS57">
        <f>VLOOKUP(Sales[[#This Row],[LivArea Range]],Lookups!$R$23:$U$39,4,FALSE)</f>
        <v>0.93310000000000004</v>
      </c>
      <c r="CT57">
        <f>VLOOKUP(Sales[[#This Row],[Decade]],Lookups!$M$23:$P$35,4,FALSE)</f>
        <v>1.0059</v>
      </c>
      <c r="CU57">
        <f>Sales[[#This Row],[Nbhd Adj]]*0.95</f>
        <v>0.92691499999999993</v>
      </c>
      <c r="CV57">
        <f>Sales[[#This Row],[Nbhd Adj]]*Sales[[#This Row],[Quality Adj]]*Sales[[#This Row],[Condition Adj]]*Sales[[#This Row],[Living Area Adj]]*Sales[[#This Row],[Decade Adj]]*0.95</f>
        <v>0.84099973833922836</v>
      </c>
      <c r="CW57">
        <f>ROUND(SUM(Sales[[#This Row],[Mdl Qlty]:[Mdl GarageArea]])+Sales[[#This Row],[Mdl Res Intercept]]*Sales[[#This Row],[Res Adj ]],-2)</f>
        <v>559200</v>
      </c>
      <c r="CX57">
        <f>ROUND(Sales[[#This Row],[25Det]]*Sales[[#This Row],[Det/Nbhd Adj]],-2)</f>
        <v>10000</v>
      </c>
      <c r="CY57">
        <f>Sales[[#This Row],[Adjusted Res]]+Sales[[#This Row],[Adj Det ]]</f>
        <v>569200</v>
      </c>
      <c r="CZ57">
        <f>ROUND((Sales[[#This Row],[Mdl Land Intercept]]+Sales[[#This Row],[Mdl LnAcres]])*Sales[[#This Row],[Det/Nbhd Adj]],-2)</f>
        <v>72600</v>
      </c>
      <c r="DA57">
        <f>Sales[[#This Row],[Adjusted Impr Total]]+Sales[[#This Row],[Adjusted Land Total]]</f>
        <v>641800</v>
      </c>
      <c r="DB57">
        <f>IFERROR((Sales[[#This Row],[Adjusted Impr Total]]-Sales[[#This Row],[24Bldg]])/Sales[[#This Row],[24Bldg]],0)</f>
        <v>0.31303344867358707</v>
      </c>
      <c r="DC57">
        <f>(Sales[[#This Row],[Adjusted Land Total]]-Sales[[#This Row],[24Lnd]])/Sales[[#This Row],[24Lnd]]</f>
        <v>-0.48253741981468284</v>
      </c>
      <c r="DD57">
        <f>(Sales[[#This Row],[Adjusted Total]]-Sales[[#This Row],[24Final]])/Sales[[#This Row],[24Final]]</f>
        <v>0.11850819100731963</v>
      </c>
      <c r="DE57">
        <f>(Sales[[#This Row],[Adjusted Total]]+Sales[[#This Row],[Days Prior Total]])/Sales[[#This Row],[Price]]</f>
        <v>0.84743535202285702</v>
      </c>
    </row>
    <row r="58" spans="1:109" x14ac:dyDescent="0.3">
      <c r="A58">
        <v>2025</v>
      </c>
      <c r="B58">
        <v>18131733430</v>
      </c>
      <c r="C58">
        <v>-0.59783700075562041</v>
      </c>
      <c r="D58">
        <v>0.55000000000000004</v>
      </c>
      <c r="E58">
        <v>23880</v>
      </c>
      <c r="F58">
        <v>1</v>
      </c>
      <c r="G58" t="s">
        <v>89</v>
      </c>
      <c r="H58">
        <v>3041</v>
      </c>
      <c r="I58" t="s">
        <v>302</v>
      </c>
      <c r="J58" t="s">
        <v>110</v>
      </c>
      <c r="K58">
        <v>11</v>
      </c>
      <c r="L58">
        <v>259</v>
      </c>
      <c r="M58" t="s">
        <v>204</v>
      </c>
      <c r="N58" t="s">
        <v>75</v>
      </c>
      <c r="O58" t="s">
        <v>258</v>
      </c>
      <c r="P58">
        <v>1998</v>
      </c>
      <c r="Q58">
        <v>1998</v>
      </c>
      <c r="R58">
        <v>30</v>
      </c>
      <c r="S58">
        <v>26</v>
      </c>
      <c r="T58">
        <v>26</v>
      </c>
      <c r="U58">
        <v>2</v>
      </c>
      <c r="V58">
        <v>2295</v>
      </c>
      <c r="W58">
        <v>870</v>
      </c>
      <c r="X58">
        <v>176</v>
      </c>
      <c r="Y58">
        <v>0</v>
      </c>
      <c r="Z58">
        <v>0</v>
      </c>
      <c r="AA58">
        <v>0</v>
      </c>
      <c r="AB58">
        <v>3341</v>
      </c>
      <c r="AC58">
        <v>3500</v>
      </c>
      <c r="AD58">
        <v>3</v>
      </c>
      <c r="AE58" t="s">
        <v>132</v>
      </c>
      <c r="AF58" t="s">
        <v>275</v>
      </c>
      <c r="AG58" t="s">
        <v>111</v>
      </c>
      <c r="AH58" t="s">
        <v>314</v>
      </c>
      <c r="AI58">
        <v>0</v>
      </c>
      <c r="AJ58">
        <v>0</v>
      </c>
      <c r="AK58">
        <v>2</v>
      </c>
      <c r="AL58">
        <v>0</v>
      </c>
      <c r="AM58">
        <v>0</v>
      </c>
      <c r="AN58">
        <v>11</v>
      </c>
      <c r="AO58">
        <v>743</v>
      </c>
      <c r="AP58">
        <v>0</v>
      </c>
      <c r="AQ58">
        <v>743</v>
      </c>
      <c r="AR58">
        <v>0</v>
      </c>
      <c r="AS58">
        <v>0</v>
      </c>
      <c r="AT58">
        <v>458</v>
      </c>
      <c r="AU58">
        <v>0</v>
      </c>
      <c r="AV58">
        <v>100</v>
      </c>
      <c r="AW58">
        <v>100</v>
      </c>
      <c r="AX58">
        <v>657946</v>
      </c>
      <c r="AY58">
        <v>618469</v>
      </c>
      <c r="AZ58">
        <v>1007</v>
      </c>
      <c r="BA58">
        <v>365</v>
      </c>
      <c r="BB58">
        <v>365</v>
      </c>
      <c r="BC58">
        <v>277</v>
      </c>
      <c r="BD58" s="6">
        <v>44285</v>
      </c>
      <c r="BE58" t="s">
        <v>325</v>
      </c>
      <c r="BF58">
        <v>675000</v>
      </c>
      <c r="BG58">
        <v>675000</v>
      </c>
      <c r="BH58" t="s">
        <v>198</v>
      </c>
      <c r="BI58">
        <v>30</v>
      </c>
      <c r="BJ58" t="s">
        <v>51</v>
      </c>
      <c r="BK58" t="s">
        <v>314</v>
      </c>
      <c r="BL58">
        <v>664200</v>
      </c>
      <c r="BM58">
        <v>126600</v>
      </c>
      <c r="BN58">
        <v>537600</v>
      </c>
      <c r="BO58">
        <v>0</v>
      </c>
      <c r="BP58">
        <v>0.98399999999999999</v>
      </c>
      <c r="BQ58">
        <v>635119.51456121984</v>
      </c>
      <c r="BR58">
        <v>743599.20708458871</v>
      </c>
      <c r="BS58" s="7">
        <f>(BR58-BL58)/BL58</f>
        <v>0.11954111274403599</v>
      </c>
      <c r="BT58" s="14">
        <f>(Sales[[#This Row],[DP1]]*Lookups!$B$51)+(Sales[[#This Row],[DP2]]*Lookups!$B$52)+(Sales[[#This Row],[DP3]]*Lookups!$B$53)</f>
        <v>-108479.69271</v>
      </c>
      <c r="BU58" s="14">
        <f>Lookups!$B$48*0.5</f>
        <v>87214.824999999997</v>
      </c>
      <c r="BV58" s="14">
        <f>Lookups!$B$48*0.5</f>
        <v>87214.824999999997</v>
      </c>
      <c r="BW58" s="14">
        <f>Lookups!$B$49*Sales[[#This Row],[LnAcres]]</f>
        <v>-14962.572388013552</v>
      </c>
      <c r="BX58" s="14">
        <f>VLOOKUP(Sales[[#This Row],[Qlty]],Lookups!$A$54:$E$67,2,FALSE)</f>
        <v>19189.450408000001</v>
      </c>
      <c r="BY58" s="14">
        <f>VLOOKUP(Sales[[#This Row],[Cnd]],Lookups!$A$68:$E$76,2,FALSE)</f>
        <v>106557.38887</v>
      </c>
      <c r="BZ58" s="14">
        <f>Sales[[#This Row],[Age]]*Lookups!$B$77</f>
        <v>4797.3231799999994</v>
      </c>
      <c r="CA58" s="14">
        <f>Sales[[#This Row],[MainFn]]*Lookups!$B$78</f>
        <v>158546.538405</v>
      </c>
      <c r="CB58" s="14">
        <f>Sales[[#This Row],[UpprFn]]*Lookups!$B$79</f>
        <v>53230.232250000001</v>
      </c>
      <c r="CC58" s="14">
        <f>Sales[[#This Row],[AddFn]]*Lookups!$B$80</f>
        <v>8268.9374239999997</v>
      </c>
      <c r="CD58" s="14">
        <f>Sales[[#This Row],[Bsmt]]*Lookups!$B$81</f>
        <v>0</v>
      </c>
      <c r="CE58" s="14">
        <f>Sales[[#This Row],[Fixtures]]*Lookups!$B$84</f>
        <v>111706.1</v>
      </c>
      <c r="CF58" s="14">
        <f>Sales[[#This Row],[MsnryFP]]*Lookups!$B$82</f>
        <v>0</v>
      </c>
      <c r="CG58" s="14">
        <f>Sales[[#This Row],[PrefabFP]]*Lookups!$B$83</f>
        <v>84182.043999999994</v>
      </c>
      <c r="CH58" s="14">
        <f>Sales[[#This Row],[GarageArea]]*Lookups!$B$85</f>
        <v>37654.123270999997</v>
      </c>
      <c r="CI58" s="14">
        <f>SUM(Sales[[#This Row],[Days Prior Total]:[Mdl GarageArea]])</f>
        <v>635119.52270998643</v>
      </c>
      <c r="CJ58" s="14">
        <f>ROUND(Sales[[#This Row],[25Det]],-2)</f>
        <v>0</v>
      </c>
      <c r="CK58" s="14">
        <f>ROUND(SUM(Sales[[#This Row],[Mdl Qlty]:[Mdl GarageArea]])+Sales[[#This Row],[Mdl Res Intercept]]+Sales[[#This Row],[Days Prior Total]],-2)</f>
        <v>562900</v>
      </c>
      <c r="CL58" s="14">
        <f>ROUND(Sales[[#This Row],[Mdl Land Intercept]]+Sales[[#This Row],[Mdl LnAcres]],-2)</f>
        <v>72300</v>
      </c>
      <c r="CM58" s="14">
        <f>Sales[[#This Row],[Unadj Res Value]]+Sales[[#This Row],[Unadj Det Value]]+Sales[[#This Row],[Unadj Land Value]]</f>
        <v>635200</v>
      </c>
      <c r="CN58" s="15">
        <f>Sales[[#This Row],[Unadj Total Value]]/Sales[[#This Row],[Price]]</f>
        <v>0.94103703703703701</v>
      </c>
      <c r="CO58" s="15">
        <f>(Sales[[#This Row],[Unadj Total Value]]-Sales[[#This Row],[24Final]])/Sales[[#This Row],[24Final]]</f>
        <v>-4.3661547726588375E-2</v>
      </c>
      <c r="CP58">
        <f>VLOOKUP(Sales[[#This Row],[TNbhd]],Lookups!$M$2:$P$4,4,FALSE)</f>
        <v>0.97570000000000001</v>
      </c>
      <c r="CQ58">
        <f>VLOOKUP(Sales[[#This Row],[Qlty]],Lookups!$M$6:$P$20,4,FALSE)</f>
        <v>0.9819</v>
      </c>
      <c r="CR58">
        <f>VLOOKUP(Sales[[#This Row],[Cnd]],Lookups!$R$6:$U$15,4,FALSE)</f>
        <v>0.9748</v>
      </c>
      <c r="CS58">
        <f>VLOOKUP(Sales[[#This Row],[LivArea Range]],Lookups!$R$23:$U$39,4,FALSE)</f>
        <v>0.99619999999999997</v>
      </c>
      <c r="CT58">
        <f>VLOOKUP(Sales[[#This Row],[Decade]],Lookups!$M$23:$P$35,4,FALSE)</f>
        <v>1.0059</v>
      </c>
      <c r="CU58">
        <f>Sales[[#This Row],[Nbhd Adj]]*0.95</f>
        <v>0.92691499999999993</v>
      </c>
      <c r="CV58">
        <f>Sales[[#This Row],[Nbhd Adj]]*Sales[[#This Row],[Quality Adj]]*Sales[[#This Row],[Condition Adj]]*Sales[[#This Row],[Living Area Adj]]*Sales[[#This Row],[Decade Adj]]*0.95</f>
        <v>0.88904559885921397</v>
      </c>
      <c r="CW58">
        <f>ROUND(SUM(Sales[[#This Row],[Mdl Qlty]:[Mdl GarageArea]])+Sales[[#This Row],[Mdl Res Intercept]]*Sales[[#This Row],[Res Adj ]],-2)</f>
        <v>661700</v>
      </c>
      <c r="CX58">
        <f>ROUND(Sales[[#This Row],[25Det]]*Sales[[#This Row],[Det/Nbhd Adj]],-2)</f>
        <v>0</v>
      </c>
      <c r="CY58">
        <f>Sales[[#This Row],[Adjusted Res]]+Sales[[#This Row],[Adj Det ]]</f>
        <v>661700</v>
      </c>
      <c r="CZ58">
        <f>ROUND((Sales[[#This Row],[Mdl Land Intercept]]+Sales[[#This Row],[Mdl LnAcres]])*Sales[[#This Row],[Det/Nbhd Adj]],-2)</f>
        <v>67000</v>
      </c>
      <c r="DA58">
        <f>Sales[[#This Row],[Adjusted Impr Total]]+Sales[[#This Row],[Adjusted Land Total]]</f>
        <v>728700</v>
      </c>
      <c r="DB58">
        <f>IFERROR((Sales[[#This Row],[Adjusted Impr Total]]-Sales[[#This Row],[24Bldg]])/Sales[[#This Row],[24Bldg]],0)</f>
        <v>0.23084077380952381</v>
      </c>
      <c r="DC58">
        <f>(Sales[[#This Row],[Adjusted Land Total]]-Sales[[#This Row],[24Lnd]])/Sales[[#This Row],[24Lnd]]</f>
        <v>-0.47077409162717221</v>
      </c>
      <c r="DD58">
        <f>(Sales[[#This Row],[Adjusted Total]]-Sales[[#This Row],[24Final]])/Sales[[#This Row],[24Final]]</f>
        <v>9.7109304426377593E-2</v>
      </c>
      <c r="DE58">
        <f>(Sales[[#This Row],[Adjusted Total]]+Sales[[#This Row],[Days Prior Total]])/Sales[[#This Row],[Price]]</f>
        <v>0.91884489968888894</v>
      </c>
    </row>
    <row r="59" spans="1:109" x14ac:dyDescent="0.3">
      <c r="A59">
        <v>2025</v>
      </c>
      <c r="B59">
        <v>18131523006</v>
      </c>
      <c r="C59">
        <v>-1.3093333199837622</v>
      </c>
      <c r="D59">
        <v>0.27</v>
      </c>
      <c r="E59">
        <v>11861</v>
      </c>
      <c r="F59">
        <v>5</v>
      </c>
      <c r="G59" t="s">
        <v>89</v>
      </c>
      <c r="H59">
        <v>3041</v>
      </c>
      <c r="I59" t="s">
        <v>302</v>
      </c>
      <c r="J59" t="s">
        <v>26</v>
      </c>
      <c r="K59">
        <v>11</v>
      </c>
      <c r="M59" t="s">
        <v>204</v>
      </c>
      <c r="N59" t="s">
        <v>50</v>
      </c>
      <c r="O59" t="s">
        <v>207</v>
      </c>
      <c r="P59">
        <v>1998</v>
      </c>
      <c r="Q59">
        <v>1998</v>
      </c>
      <c r="R59">
        <v>30</v>
      </c>
      <c r="S59">
        <v>26</v>
      </c>
      <c r="T59">
        <v>26</v>
      </c>
      <c r="U59">
        <v>1</v>
      </c>
      <c r="V59">
        <v>2219</v>
      </c>
      <c r="W59">
        <v>0</v>
      </c>
      <c r="X59">
        <v>0</v>
      </c>
      <c r="Y59">
        <v>1468</v>
      </c>
      <c r="Z59">
        <v>1468</v>
      </c>
      <c r="AA59">
        <v>0</v>
      </c>
      <c r="AB59">
        <v>3687</v>
      </c>
      <c r="AC59">
        <v>4000</v>
      </c>
      <c r="AD59">
        <v>0</v>
      </c>
      <c r="AE59" t="s">
        <v>5</v>
      </c>
      <c r="AF59" t="s">
        <v>275</v>
      </c>
      <c r="AG59" t="s">
        <v>111</v>
      </c>
      <c r="AH59" t="s">
        <v>314</v>
      </c>
      <c r="AI59">
        <v>1</v>
      </c>
      <c r="AJ59">
        <v>1</v>
      </c>
      <c r="AK59">
        <v>0</v>
      </c>
      <c r="AL59">
        <v>0</v>
      </c>
      <c r="AM59">
        <v>1</v>
      </c>
      <c r="AN59">
        <v>13</v>
      </c>
      <c r="AO59">
        <v>0</v>
      </c>
      <c r="AP59">
        <v>744</v>
      </c>
      <c r="AQ59">
        <v>744</v>
      </c>
      <c r="AR59">
        <v>0</v>
      </c>
      <c r="AS59">
        <v>0</v>
      </c>
      <c r="AT59">
        <v>374</v>
      </c>
      <c r="AU59">
        <v>64</v>
      </c>
      <c r="AV59">
        <v>100</v>
      </c>
      <c r="AW59">
        <v>100</v>
      </c>
      <c r="AX59">
        <v>710269</v>
      </c>
      <c r="AY59">
        <v>667653</v>
      </c>
      <c r="AZ59">
        <v>185</v>
      </c>
      <c r="BA59">
        <v>185</v>
      </c>
      <c r="BB59">
        <v>0</v>
      </c>
      <c r="BC59">
        <v>0</v>
      </c>
      <c r="BD59" s="6">
        <v>45107</v>
      </c>
      <c r="BE59" t="s">
        <v>213</v>
      </c>
      <c r="BF59">
        <v>583000</v>
      </c>
      <c r="BG59">
        <v>583000</v>
      </c>
      <c r="BH59" t="s">
        <v>198</v>
      </c>
      <c r="BI59">
        <v>30</v>
      </c>
      <c r="BJ59" t="s">
        <v>51</v>
      </c>
      <c r="BK59" t="s">
        <v>314</v>
      </c>
      <c r="BL59">
        <v>538100</v>
      </c>
      <c r="BM59">
        <v>86200</v>
      </c>
      <c r="BN59">
        <v>451900</v>
      </c>
      <c r="BO59">
        <v>0</v>
      </c>
      <c r="BP59">
        <v>0.92298456260720407</v>
      </c>
      <c r="BQ59">
        <v>601482.06109601585</v>
      </c>
      <c r="BR59">
        <v>630742.02419964154</v>
      </c>
      <c r="BS59" s="7">
        <f>(BR59-BL59)/BL59</f>
        <v>0.17216507006066073</v>
      </c>
      <c r="BT59" s="14">
        <f>(Sales[[#This Row],[DP1]]*Lookups!$B$51)+(Sales[[#This Row],[DP2]]*Lookups!$B$52)+(Sales[[#This Row],[DP3]]*Lookups!$B$53)</f>
        <v>-29259.97</v>
      </c>
      <c r="BU59" s="14">
        <f>Lookups!$B$48*0.5</f>
        <v>87214.824999999997</v>
      </c>
      <c r="BV59" s="14">
        <f>Lookups!$B$48*0.5</f>
        <v>87214.824999999997</v>
      </c>
      <c r="BW59" s="14">
        <f>Lookups!$B$49*Sales[[#This Row],[LnAcres]]</f>
        <v>-32769.792695222328</v>
      </c>
      <c r="BX59" s="14">
        <f>VLOOKUP(Sales[[#This Row],[Qlty]],Lookups!$A$54:$E$67,2,FALSE)</f>
        <v>46722.525125</v>
      </c>
      <c r="BY59" s="14">
        <f>VLOOKUP(Sales[[#This Row],[Cnd]],Lookups!$A$68:$E$76,2,FALSE)</f>
        <v>47273.897095</v>
      </c>
      <c r="BZ59" s="14">
        <f>Sales[[#This Row],[Age]]*Lookups!$B$77</f>
        <v>4797.3231799999994</v>
      </c>
      <c r="CA59" s="14">
        <f>Sales[[#This Row],[MainFn]]*Lookups!$B$78</f>
        <v>153296.19552100002</v>
      </c>
      <c r="CB59" s="14">
        <f>Sales[[#This Row],[UpprFn]]*Lookups!$B$79</f>
        <v>0</v>
      </c>
      <c r="CC59" s="14">
        <f>Sales[[#This Row],[AddFn]]*Lookups!$B$80</f>
        <v>0</v>
      </c>
      <c r="CD59" s="14">
        <f>Sales[[#This Row],[Bsmt]]*Lookups!$B$81</f>
        <v>41997.509943999998</v>
      </c>
      <c r="CE59" s="14">
        <f>Sales[[#This Row],[Fixtures]]*Lookups!$B$84</f>
        <v>132016.30000000002</v>
      </c>
      <c r="CF59" s="14">
        <f>Sales[[#This Row],[MsnryFP]]*Lookups!$B$82</f>
        <v>25273.623</v>
      </c>
      <c r="CG59" s="14">
        <f>Sales[[#This Row],[PrefabFP]]*Lookups!$B$83</f>
        <v>0</v>
      </c>
      <c r="CH59" s="14">
        <f>Sales[[#This Row],[GarageArea]]*Lookups!$B$85</f>
        <v>37704.801767999998</v>
      </c>
      <c r="CI59" s="14">
        <f>SUM(Sales[[#This Row],[Days Prior Total]:[Mdl GarageArea]])</f>
        <v>601482.06293777772</v>
      </c>
      <c r="CJ59" s="14">
        <f>ROUND(Sales[[#This Row],[25Det]],-2)</f>
        <v>0</v>
      </c>
      <c r="CK59" s="14">
        <f>ROUND(SUM(Sales[[#This Row],[Mdl Qlty]:[Mdl GarageArea]])+Sales[[#This Row],[Mdl Res Intercept]]+Sales[[#This Row],[Days Prior Total]],-2)</f>
        <v>547000</v>
      </c>
      <c r="CL59" s="14">
        <f>ROUND(Sales[[#This Row],[Mdl Land Intercept]]+Sales[[#This Row],[Mdl LnAcres]],-2)</f>
        <v>54400</v>
      </c>
      <c r="CM59" s="14">
        <f>Sales[[#This Row],[Unadj Res Value]]+Sales[[#This Row],[Unadj Det Value]]+Sales[[#This Row],[Unadj Land Value]]</f>
        <v>601400</v>
      </c>
      <c r="CN59" s="15">
        <f>Sales[[#This Row],[Unadj Total Value]]/Sales[[#This Row],[Price]]</f>
        <v>1.0315608919382504</v>
      </c>
      <c r="CO59" s="15">
        <f>(Sales[[#This Row],[Unadj Total Value]]-Sales[[#This Row],[24Final]])/Sales[[#This Row],[24Final]]</f>
        <v>0.11763612711391934</v>
      </c>
      <c r="CP59">
        <f>VLOOKUP(Sales[[#This Row],[TNbhd]],Lookups!$M$2:$P$4,4,FALSE)</f>
        <v>0.97570000000000001</v>
      </c>
      <c r="CQ59">
        <f>VLOOKUP(Sales[[#This Row],[Qlty]],Lookups!$M$6:$P$20,4,FALSE)</f>
        <v>0.98329999999999995</v>
      </c>
      <c r="CR59">
        <f>VLOOKUP(Sales[[#This Row],[Cnd]],Lookups!$R$6:$U$15,4,FALSE)</f>
        <v>0.97829999999999995</v>
      </c>
      <c r="CS59">
        <f>VLOOKUP(Sales[[#This Row],[LivArea Range]],Lookups!$R$23:$U$39,4,FALSE)</f>
        <v>1.034</v>
      </c>
      <c r="CT59">
        <f>VLOOKUP(Sales[[#This Row],[Decade]],Lookups!$M$23:$P$35,4,FALSE)</f>
        <v>1.0059</v>
      </c>
      <c r="CU59">
        <f>Sales[[#This Row],[Nbhd Adj]]*0.95</f>
        <v>0.92691499999999993</v>
      </c>
      <c r="CV59">
        <f>Sales[[#This Row],[Nbhd Adj]]*Sales[[#This Row],[Quality Adj]]*Sales[[#This Row],[Condition Adj]]*Sales[[#This Row],[Living Area Adj]]*Sales[[#This Row],[Decade Adj]]*0.95</f>
        <v>0.92741336420721787</v>
      </c>
      <c r="CW59">
        <f>ROUND(SUM(Sales[[#This Row],[Mdl Qlty]:[Mdl GarageArea]])+Sales[[#This Row],[Mdl Res Intercept]]*Sales[[#This Row],[Res Adj ]],-2)</f>
        <v>570000</v>
      </c>
      <c r="CX59">
        <f>ROUND(Sales[[#This Row],[25Det]]*Sales[[#This Row],[Det/Nbhd Adj]],-2)</f>
        <v>0</v>
      </c>
      <c r="CY59">
        <f>Sales[[#This Row],[Adjusted Res]]+Sales[[#This Row],[Adj Det ]]</f>
        <v>570000</v>
      </c>
      <c r="CZ59">
        <f>ROUND((Sales[[#This Row],[Mdl Land Intercept]]+Sales[[#This Row],[Mdl LnAcres]])*Sales[[#This Row],[Det/Nbhd Adj]],-2)</f>
        <v>50500</v>
      </c>
      <c r="DA59">
        <f>Sales[[#This Row],[Adjusted Impr Total]]+Sales[[#This Row],[Adjusted Land Total]]</f>
        <v>620500</v>
      </c>
      <c r="DB59">
        <f>IFERROR((Sales[[#This Row],[Adjusted Impr Total]]-Sales[[#This Row],[24Bldg]])/Sales[[#This Row],[24Bldg]],0)</f>
        <v>0.26134100464704579</v>
      </c>
      <c r="DC59">
        <f>(Sales[[#This Row],[Adjusted Land Total]]-Sales[[#This Row],[24Lnd]])/Sales[[#This Row],[24Lnd]]</f>
        <v>-0.41415313225058004</v>
      </c>
      <c r="DD59">
        <f>(Sales[[#This Row],[Adjusted Total]]-Sales[[#This Row],[24Final]])/Sales[[#This Row],[24Final]]</f>
        <v>0.15313138821780339</v>
      </c>
      <c r="DE59">
        <f>(Sales[[#This Row],[Adjusted Total]]+Sales[[#This Row],[Days Prior Total]])/Sales[[#This Row],[Price]]</f>
        <v>1.0141338421955404</v>
      </c>
    </row>
    <row r="60" spans="1:109" x14ac:dyDescent="0.3">
      <c r="A60">
        <v>2025</v>
      </c>
      <c r="B60">
        <v>18131912408</v>
      </c>
      <c r="C60">
        <v>-0.59783700075562041</v>
      </c>
      <c r="D60">
        <v>0.55000000000000004</v>
      </c>
      <c r="E60">
        <v>0</v>
      </c>
      <c r="F60">
        <v>1</v>
      </c>
      <c r="G60" t="s">
        <v>89</v>
      </c>
      <c r="H60">
        <v>3042</v>
      </c>
      <c r="I60" t="s">
        <v>302</v>
      </c>
      <c r="J60" t="s">
        <v>26</v>
      </c>
      <c r="K60">
        <v>11</v>
      </c>
      <c r="L60">
        <v>259</v>
      </c>
      <c r="M60" t="s">
        <v>204</v>
      </c>
      <c r="N60" t="s">
        <v>111</v>
      </c>
      <c r="O60" t="s">
        <v>207</v>
      </c>
      <c r="P60">
        <v>1997</v>
      </c>
      <c r="Q60">
        <v>1997</v>
      </c>
      <c r="R60">
        <v>30</v>
      </c>
      <c r="S60">
        <v>27</v>
      </c>
      <c r="T60">
        <v>27</v>
      </c>
      <c r="U60">
        <v>1</v>
      </c>
      <c r="V60">
        <v>1736</v>
      </c>
      <c r="W60">
        <v>0</v>
      </c>
      <c r="X60">
        <v>0</v>
      </c>
      <c r="Y60">
        <v>668</v>
      </c>
      <c r="Z60">
        <v>668</v>
      </c>
      <c r="AA60">
        <v>0</v>
      </c>
      <c r="AB60">
        <v>2404</v>
      </c>
      <c r="AC60">
        <v>2500</v>
      </c>
      <c r="AD60">
        <v>2</v>
      </c>
      <c r="AF60" t="s">
        <v>275</v>
      </c>
      <c r="AG60" t="s">
        <v>274</v>
      </c>
      <c r="AH60" t="s">
        <v>314</v>
      </c>
      <c r="AI60">
        <v>0</v>
      </c>
      <c r="AJ60">
        <v>0</v>
      </c>
      <c r="AK60">
        <v>1</v>
      </c>
      <c r="AL60">
        <v>0</v>
      </c>
      <c r="AM60">
        <v>0</v>
      </c>
      <c r="AN60">
        <v>11</v>
      </c>
      <c r="AO60">
        <v>576</v>
      </c>
      <c r="AP60">
        <v>0</v>
      </c>
      <c r="AQ60">
        <v>576</v>
      </c>
      <c r="AR60">
        <v>0</v>
      </c>
      <c r="AS60">
        <v>266</v>
      </c>
      <c r="AT60">
        <v>209</v>
      </c>
      <c r="AU60">
        <v>0</v>
      </c>
      <c r="AV60">
        <v>100</v>
      </c>
      <c r="AW60">
        <v>100</v>
      </c>
      <c r="AX60">
        <v>428016</v>
      </c>
      <c r="AY60">
        <v>389495</v>
      </c>
      <c r="AZ60">
        <v>894</v>
      </c>
      <c r="BA60">
        <v>365</v>
      </c>
      <c r="BB60">
        <v>365</v>
      </c>
      <c r="BC60">
        <v>164</v>
      </c>
      <c r="BD60" s="6">
        <v>44398</v>
      </c>
      <c r="BE60" t="s">
        <v>194</v>
      </c>
      <c r="BF60">
        <v>514500</v>
      </c>
      <c r="BG60">
        <v>514500</v>
      </c>
      <c r="BH60" t="s">
        <v>198</v>
      </c>
      <c r="BI60">
        <v>30</v>
      </c>
      <c r="BJ60" t="s">
        <v>51</v>
      </c>
      <c r="BK60" t="s">
        <v>314</v>
      </c>
      <c r="BL60">
        <v>475000</v>
      </c>
      <c r="BM60">
        <v>126600</v>
      </c>
      <c r="BN60">
        <v>348400</v>
      </c>
      <c r="BO60">
        <v>0</v>
      </c>
      <c r="BP60">
        <v>0.92322643343051503</v>
      </c>
      <c r="BQ60">
        <v>445811.04325766751</v>
      </c>
      <c r="BR60">
        <v>519420.51233187533</v>
      </c>
      <c r="BS60" s="7">
        <f>(BR60-BL60)/BL60</f>
        <v>9.3516868067105963E-2</v>
      </c>
      <c r="BT60" s="14">
        <f>(Sales[[#This Row],[DP1]]*Lookups!$B$51)+(Sales[[#This Row],[DP2]]*Lookups!$B$52)+(Sales[[#This Row],[DP3]]*Lookups!$B$53)</f>
        <v>-73609.47471000001</v>
      </c>
      <c r="BU60" s="14">
        <f>Lookups!$B$48*0.5</f>
        <v>87214.824999999997</v>
      </c>
      <c r="BV60" s="14">
        <f>Lookups!$B$48*0.5</f>
        <v>87214.824999999997</v>
      </c>
      <c r="BW60" s="14">
        <f>Lookups!$B$49*Sales[[#This Row],[LnAcres]]</f>
        <v>-14962.572388013552</v>
      </c>
      <c r="BX60" s="14">
        <f>VLOOKUP(Sales[[#This Row],[Qlty]],Lookups!$A$54:$E$67,2,FALSE)</f>
        <v>-14329.694740000001</v>
      </c>
      <c r="BY60" s="14">
        <f>VLOOKUP(Sales[[#This Row],[Cnd]],Lookups!$A$68:$E$76,2,FALSE)</f>
        <v>47273.897095</v>
      </c>
      <c r="BZ60" s="14">
        <f>Sales[[#This Row],[Age]]*Lookups!$B$77</f>
        <v>4981.8356100000001</v>
      </c>
      <c r="CA60" s="14">
        <f>Sales[[#This Row],[MainFn]]*Lookups!$B$78</f>
        <v>119928.88482400001</v>
      </c>
      <c r="CB60" s="14">
        <f>Sales[[#This Row],[UpprFn]]*Lookups!$B$79</f>
        <v>0</v>
      </c>
      <c r="CC60" s="14">
        <f>Sales[[#This Row],[AddFn]]*Lookups!$B$80</f>
        <v>0</v>
      </c>
      <c r="CD60" s="14">
        <f>Sales[[#This Row],[Bsmt]]*Lookups!$B$81</f>
        <v>19110.583543999997</v>
      </c>
      <c r="CE60" s="14">
        <f>Sales[[#This Row],[Fixtures]]*Lookups!$B$84</f>
        <v>111706.1</v>
      </c>
      <c r="CF60" s="14">
        <f>Sales[[#This Row],[MsnryFP]]*Lookups!$B$82</f>
        <v>0</v>
      </c>
      <c r="CG60" s="14">
        <f>Sales[[#This Row],[PrefabFP]]*Lookups!$B$83</f>
        <v>42091.021999999997</v>
      </c>
      <c r="CH60" s="14">
        <f>Sales[[#This Row],[GarageArea]]*Lookups!$B$85</f>
        <v>29190.814272</v>
      </c>
      <c r="CI60" s="14">
        <f>SUM(Sales[[#This Row],[Days Prior Total]:[Mdl GarageArea]])</f>
        <v>445811.04550698644</v>
      </c>
      <c r="CJ60" s="14">
        <f>ROUND(Sales[[#This Row],[25Det]],-2)</f>
        <v>0</v>
      </c>
      <c r="CK60" s="14">
        <f>ROUND(SUM(Sales[[#This Row],[Mdl Qlty]:[Mdl GarageArea]])+Sales[[#This Row],[Mdl Res Intercept]]+Sales[[#This Row],[Days Prior Total]],-2)</f>
        <v>373600</v>
      </c>
      <c r="CL60" s="14">
        <f>ROUND(Sales[[#This Row],[Mdl Land Intercept]]+Sales[[#This Row],[Mdl LnAcres]],-2)</f>
        <v>72300</v>
      </c>
      <c r="CM60" s="14">
        <f>Sales[[#This Row],[Unadj Res Value]]+Sales[[#This Row],[Unadj Det Value]]+Sales[[#This Row],[Unadj Land Value]]</f>
        <v>445900</v>
      </c>
      <c r="CN60" s="15">
        <f>Sales[[#This Row],[Unadj Total Value]]/Sales[[#This Row],[Price]]</f>
        <v>0.8666666666666667</v>
      </c>
      <c r="CO60" s="15">
        <f>(Sales[[#This Row],[Unadj Total Value]]-Sales[[#This Row],[24Final]])/Sales[[#This Row],[24Final]]</f>
        <v>-6.1263157894736839E-2</v>
      </c>
      <c r="CP60">
        <f>VLOOKUP(Sales[[#This Row],[TNbhd]],Lookups!$M$2:$P$4,4,FALSE)</f>
        <v>0.97570000000000001</v>
      </c>
      <c r="CQ60">
        <f>VLOOKUP(Sales[[#This Row],[Qlty]],Lookups!$M$6:$P$20,4,FALSE)</f>
        <v>0.98809999999999998</v>
      </c>
      <c r="CR60">
        <f>VLOOKUP(Sales[[#This Row],[Cnd]],Lookups!$R$6:$U$15,4,FALSE)</f>
        <v>0.97829999999999995</v>
      </c>
      <c r="CS60">
        <f>VLOOKUP(Sales[[#This Row],[LivArea Range]],Lookups!$R$23:$U$39,4,FALSE)</f>
        <v>0.93440000000000001</v>
      </c>
      <c r="CT60">
        <f>VLOOKUP(Sales[[#This Row],[Decade]],Lookups!$M$23:$P$35,4,FALSE)</f>
        <v>1.0059</v>
      </c>
      <c r="CU60">
        <f>Sales[[#This Row],[Nbhd Adj]]*0.95</f>
        <v>0.92691499999999993</v>
      </c>
      <c r="CV60">
        <f>Sales[[#This Row],[Nbhd Adj]]*Sales[[#This Row],[Quality Adj]]*Sales[[#This Row],[Condition Adj]]*Sales[[#This Row],[Living Area Adj]]*Sales[[#This Row],[Decade Adj]]*0.95</f>
        <v>0.8421714237532687</v>
      </c>
      <c r="CW60">
        <f>ROUND(SUM(Sales[[#This Row],[Mdl Qlty]:[Mdl GarageArea]])+Sales[[#This Row],[Mdl Res Intercept]]*Sales[[#This Row],[Res Adj ]],-2)</f>
        <v>433400</v>
      </c>
      <c r="CX60">
        <f>ROUND(Sales[[#This Row],[25Det]]*Sales[[#This Row],[Det/Nbhd Adj]],-2)</f>
        <v>0</v>
      </c>
      <c r="CY60">
        <f>Sales[[#This Row],[Adjusted Res]]+Sales[[#This Row],[Adj Det ]]</f>
        <v>433400</v>
      </c>
      <c r="CZ60">
        <f>ROUND((Sales[[#This Row],[Mdl Land Intercept]]+Sales[[#This Row],[Mdl LnAcres]])*Sales[[#This Row],[Det/Nbhd Adj]],-2)</f>
        <v>67000</v>
      </c>
      <c r="DA60">
        <f>Sales[[#This Row],[Adjusted Impr Total]]+Sales[[#This Row],[Adjusted Land Total]]</f>
        <v>500400</v>
      </c>
      <c r="DB60">
        <f>IFERROR((Sales[[#This Row],[Adjusted Impr Total]]-Sales[[#This Row],[24Bldg]])/Sales[[#This Row],[24Bldg]],0)</f>
        <v>0.24397244546498278</v>
      </c>
      <c r="DC60">
        <f>(Sales[[#This Row],[Adjusted Land Total]]-Sales[[#This Row],[24Lnd]])/Sales[[#This Row],[24Lnd]]</f>
        <v>-0.47077409162717221</v>
      </c>
      <c r="DD60">
        <f>(Sales[[#This Row],[Adjusted Total]]-Sales[[#This Row],[24Final]])/Sales[[#This Row],[24Final]]</f>
        <v>5.3473684210526319E-2</v>
      </c>
      <c r="DE60">
        <f>(Sales[[#This Row],[Adjusted Total]]+Sales[[#This Row],[Days Prior Total]])/Sales[[#This Row],[Price]]</f>
        <v>0.82952483049562686</v>
      </c>
    </row>
    <row r="61" spans="1:109" x14ac:dyDescent="0.3">
      <c r="A61">
        <v>2025</v>
      </c>
      <c r="B61">
        <v>18131744453</v>
      </c>
      <c r="C61">
        <v>0.53062825106217038</v>
      </c>
      <c r="D61">
        <v>1.7</v>
      </c>
      <c r="E61">
        <v>74178</v>
      </c>
      <c r="F61">
        <v>5</v>
      </c>
      <c r="G61" t="s">
        <v>89</v>
      </c>
      <c r="H61" t="s">
        <v>203</v>
      </c>
      <c r="I61" t="s">
        <v>302</v>
      </c>
      <c r="J61" t="s">
        <v>26</v>
      </c>
      <c r="K61">
        <v>11</v>
      </c>
      <c r="L61">
        <v>331</v>
      </c>
      <c r="M61" t="s">
        <v>313</v>
      </c>
      <c r="N61" t="s">
        <v>230</v>
      </c>
      <c r="O61" t="s">
        <v>258</v>
      </c>
      <c r="P61">
        <v>1997</v>
      </c>
      <c r="Q61">
        <v>1997</v>
      </c>
      <c r="R61">
        <v>30</v>
      </c>
      <c r="S61">
        <v>27</v>
      </c>
      <c r="T61">
        <v>27</v>
      </c>
      <c r="U61">
        <v>2</v>
      </c>
      <c r="V61">
        <v>5309</v>
      </c>
      <c r="W61">
        <v>3755</v>
      </c>
      <c r="X61">
        <v>0</v>
      </c>
      <c r="Y61">
        <v>0</v>
      </c>
      <c r="Z61">
        <v>0</v>
      </c>
      <c r="AA61">
        <v>0</v>
      </c>
      <c r="AB61">
        <v>9064</v>
      </c>
      <c r="AC61">
        <v>9500</v>
      </c>
      <c r="AD61">
        <v>3</v>
      </c>
      <c r="AF61" t="s">
        <v>275</v>
      </c>
      <c r="AG61" t="s">
        <v>111</v>
      </c>
      <c r="AH61" t="s">
        <v>314</v>
      </c>
      <c r="AI61">
        <v>0</v>
      </c>
      <c r="AJ61">
        <v>3</v>
      </c>
      <c r="AK61">
        <v>0</v>
      </c>
      <c r="AL61">
        <v>1</v>
      </c>
      <c r="AM61">
        <v>3</v>
      </c>
      <c r="AN61">
        <v>24</v>
      </c>
      <c r="AO61">
        <v>1300</v>
      </c>
      <c r="AP61">
        <v>0</v>
      </c>
      <c r="AQ61">
        <v>1300</v>
      </c>
      <c r="AR61">
        <v>0</v>
      </c>
      <c r="AS61">
        <v>0</v>
      </c>
      <c r="AT61">
        <v>3142</v>
      </c>
      <c r="AU61">
        <v>812</v>
      </c>
      <c r="AV61">
        <v>100</v>
      </c>
      <c r="AW61">
        <v>100</v>
      </c>
      <c r="AX61">
        <v>3307284</v>
      </c>
      <c r="AY61">
        <v>3141920</v>
      </c>
      <c r="AZ61">
        <v>811</v>
      </c>
      <c r="BA61">
        <v>365</v>
      </c>
      <c r="BB61">
        <v>365</v>
      </c>
      <c r="BC61">
        <v>81</v>
      </c>
      <c r="BD61" s="6">
        <v>44481</v>
      </c>
      <c r="BE61" t="s">
        <v>163</v>
      </c>
      <c r="BF61">
        <v>1712500</v>
      </c>
      <c r="BG61">
        <v>1712500</v>
      </c>
      <c r="BH61" t="s">
        <v>198</v>
      </c>
      <c r="BI61">
        <v>30</v>
      </c>
      <c r="BJ61" t="s">
        <v>51</v>
      </c>
      <c r="BK61" t="s">
        <v>314</v>
      </c>
      <c r="BL61">
        <v>1909800</v>
      </c>
      <c r="BM61">
        <v>190000</v>
      </c>
      <c r="BN61">
        <v>1719800</v>
      </c>
      <c r="BO61">
        <v>0</v>
      </c>
      <c r="BP61">
        <v>1.1152116788321167</v>
      </c>
      <c r="BQ61">
        <v>1752430.2377754571</v>
      </c>
      <c r="BR61">
        <v>1800427.0648471836</v>
      </c>
      <c r="BS61" s="7">
        <f>(BR61-BL61)/BL61</f>
        <v>-5.7269313620701832E-2</v>
      </c>
      <c r="BT61" s="14">
        <f>(Sales[[#This Row],[DP1]]*Lookups!$B$51)+(Sales[[#This Row],[DP2]]*Lookups!$B$52)+(Sales[[#This Row],[DP3]]*Lookups!$B$53)</f>
        <v>-47996.836710000003</v>
      </c>
      <c r="BU61" s="14">
        <f>Lookups!$B$48*0.5</f>
        <v>87214.824999999997</v>
      </c>
      <c r="BV61" s="14">
        <f>Lookups!$B$48*0.5</f>
        <v>87214.824999999997</v>
      </c>
      <c r="BW61" s="14">
        <f>Lookups!$B$49*Sales[[#This Row],[LnAcres]]</f>
        <v>13280.482150833337</v>
      </c>
      <c r="BX61" s="14">
        <f>VLOOKUP(Sales[[#This Row],[Qlty]],Lookups!$A$54:$E$67,2,FALSE)</f>
        <v>519241.74659</v>
      </c>
      <c r="BY61" s="14">
        <f>VLOOKUP(Sales[[#This Row],[Cnd]],Lookups!$A$68:$E$76,2,FALSE)</f>
        <v>106557.38887</v>
      </c>
      <c r="BZ61" s="14">
        <f>Sales[[#This Row],[Age]]*Lookups!$B$77</f>
        <v>4981.8356100000001</v>
      </c>
      <c r="CA61" s="14">
        <f>Sales[[#This Row],[MainFn]]*Lookups!$B$78</f>
        <v>366764.08383100003</v>
      </c>
      <c r="CB61" s="14">
        <f>Sales[[#This Row],[UpprFn]]*Lookups!$B$79</f>
        <v>229746.57712500001</v>
      </c>
      <c r="CC61" s="14">
        <f>Sales[[#This Row],[AddFn]]*Lookups!$B$80</f>
        <v>0</v>
      </c>
      <c r="CD61" s="14">
        <f>Sales[[#This Row],[Bsmt]]*Lookups!$B$81</f>
        <v>0</v>
      </c>
      <c r="CE61" s="14">
        <f>Sales[[#This Row],[Fixtures]]*Lookups!$B$84</f>
        <v>243722.40000000002</v>
      </c>
      <c r="CF61" s="14">
        <f>Sales[[#This Row],[MsnryFP]]*Lookups!$B$82</f>
        <v>75820.869000000006</v>
      </c>
      <c r="CG61" s="14">
        <f>Sales[[#This Row],[PrefabFP]]*Lookups!$B$83</f>
        <v>0</v>
      </c>
      <c r="CH61" s="14">
        <f>Sales[[#This Row],[GarageArea]]*Lookups!$B$85</f>
        <v>65882.046100000007</v>
      </c>
      <c r="CI61" s="14">
        <f>SUM(Sales[[#This Row],[Days Prior Total]:[Mdl GarageArea]])</f>
        <v>1752430.2425668333</v>
      </c>
      <c r="CJ61" s="14">
        <f>ROUND(Sales[[#This Row],[25Det]],-2)</f>
        <v>0</v>
      </c>
      <c r="CK61" s="14">
        <f>ROUND(SUM(Sales[[#This Row],[Mdl Qlty]:[Mdl GarageArea]])+Sales[[#This Row],[Mdl Res Intercept]]+Sales[[#This Row],[Days Prior Total]],-2)</f>
        <v>1651900</v>
      </c>
      <c r="CL61" s="14">
        <f>ROUND(Sales[[#This Row],[Mdl Land Intercept]]+Sales[[#This Row],[Mdl LnAcres]],-2)</f>
        <v>100500</v>
      </c>
      <c r="CM61" s="14">
        <f>Sales[[#This Row],[Unadj Res Value]]+Sales[[#This Row],[Unadj Det Value]]+Sales[[#This Row],[Unadj Land Value]]</f>
        <v>1752400</v>
      </c>
      <c r="CN61" s="15">
        <f>Sales[[#This Row],[Unadj Total Value]]/Sales[[#This Row],[Price]]</f>
        <v>1.0232992700729926</v>
      </c>
      <c r="CO61" s="15">
        <f>(Sales[[#This Row],[Unadj Total Value]]-Sales[[#This Row],[24Final]])/Sales[[#This Row],[24Final]]</f>
        <v>-8.2417007016441515E-2</v>
      </c>
      <c r="CP61">
        <f>VLOOKUP(Sales[[#This Row],[TNbhd]],Lookups!$M$2:$P$4,4,FALSE)</f>
        <v>0.97570000000000001</v>
      </c>
      <c r="CQ61">
        <f>VLOOKUP(Sales[[#This Row],[Qlty]],Lookups!$M$6:$P$20,4,FALSE)</f>
        <v>0.99960000000000004</v>
      </c>
      <c r="CR61">
        <f>VLOOKUP(Sales[[#This Row],[Cnd]],Lookups!$R$6:$U$15,4,FALSE)</f>
        <v>0.9748</v>
      </c>
      <c r="CS61">
        <f>VLOOKUP(Sales[[#This Row],[LivArea Range]],Lookups!$R$23:$U$39,4,FALSE)</f>
        <v>0.97719999999999996</v>
      </c>
      <c r="CT61">
        <f>VLOOKUP(Sales[[#This Row],[Decade]],Lookups!$M$23:$P$35,4,FALSE)</f>
        <v>1.0059</v>
      </c>
      <c r="CU61">
        <f>Sales[[#This Row],[Nbhd Adj]]*0.95</f>
        <v>0.92691499999999993</v>
      </c>
      <c r="CV61">
        <f>Sales[[#This Row],[Nbhd Adj]]*Sales[[#This Row],[Quality Adj]]*Sales[[#This Row],[Condition Adj]]*Sales[[#This Row],[Living Area Adj]]*Sales[[#This Row],[Decade Adj]]*0.95</f>
        <v>0.88780982057262325</v>
      </c>
      <c r="CW61">
        <f>ROUND(SUM(Sales[[#This Row],[Mdl Qlty]:[Mdl GarageArea]])+Sales[[#This Row],[Mdl Res Intercept]]*Sales[[#This Row],[Res Adj ]],-2)</f>
        <v>1690100</v>
      </c>
      <c r="CX61">
        <f>ROUND(Sales[[#This Row],[25Det]]*Sales[[#This Row],[Det/Nbhd Adj]],-2)</f>
        <v>0</v>
      </c>
      <c r="CY61">
        <f>Sales[[#This Row],[Adjusted Res]]+Sales[[#This Row],[Adj Det ]]</f>
        <v>1690100</v>
      </c>
      <c r="CZ61">
        <f>ROUND((Sales[[#This Row],[Mdl Land Intercept]]+Sales[[#This Row],[Mdl LnAcres]])*Sales[[#This Row],[Det/Nbhd Adj]],-2)</f>
        <v>93200</v>
      </c>
      <c r="DA61">
        <f>Sales[[#This Row],[Adjusted Impr Total]]+Sales[[#This Row],[Adjusted Land Total]]</f>
        <v>1783300</v>
      </c>
      <c r="DB61">
        <f>IFERROR((Sales[[#This Row],[Adjusted Impr Total]]-Sales[[#This Row],[24Bldg]])/Sales[[#This Row],[24Bldg]],0)</f>
        <v>-1.7269449936039075E-2</v>
      </c>
      <c r="DC61">
        <f>(Sales[[#This Row],[Adjusted Land Total]]-Sales[[#This Row],[24Lnd]])/Sales[[#This Row],[24Lnd]]</f>
        <v>-0.5094736842105263</v>
      </c>
      <c r="DD61">
        <f>(Sales[[#This Row],[Adjusted Total]]-Sales[[#This Row],[24Final]])/Sales[[#This Row],[24Final]]</f>
        <v>-6.6237302335323073E-2</v>
      </c>
      <c r="DE61">
        <f>(Sales[[#This Row],[Adjusted Total]]+Sales[[#This Row],[Days Prior Total]])/Sales[[#This Row],[Price]]</f>
        <v>1.013315715789781</v>
      </c>
    </row>
    <row r="62" spans="1:109" x14ac:dyDescent="0.3">
      <c r="A62">
        <v>2025</v>
      </c>
      <c r="B62">
        <v>18131744436</v>
      </c>
      <c r="C62">
        <v>-0.67334455326376563</v>
      </c>
      <c r="D62">
        <v>0.51</v>
      </c>
      <c r="E62">
        <v>22113</v>
      </c>
      <c r="F62">
        <v>5</v>
      </c>
      <c r="G62" t="s">
        <v>89</v>
      </c>
      <c r="H62">
        <v>3041</v>
      </c>
      <c r="I62" t="s">
        <v>302</v>
      </c>
      <c r="J62" t="s">
        <v>26</v>
      </c>
      <c r="K62">
        <v>11</v>
      </c>
      <c r="L62">
        <v>331</v>
      </c>
      <c r="M62" t="s">
        <v>313</v>
      </c>
      <c r="N62" t="s">
        <v>206</v>
      </c>
      <c r="O62" t="s">
        <v>258</v>
      </c>
      <c r="P62">
        <v>1996</v>
      </c>
      <c r="Q62">
        <v>1996</v>
      </c>
      <c r="R62">
        <v>30</v>
      </c>
      <c r="S62">
        <v>28</v>
      </c>
      <c r="T62">
        <v>28</v>
      </c>
      <c r="U62">
        <v>1</v>
      </c>
      <c r="V62">
        <v>3031</v>
      </c>
      <c r="W62">
        <v>0</v>
      </c>
      <c r="X62">
        <v>0</v>
      </c>
      <c r="Y62">
        <v>1364</v>
      </c>
      <c r="Z62">
        <v>1348</v>
      </c>
      <c r="AA62">
        <v>16</v>
      </c>
      <c r="AB62">
        <v>4379</v>
      </c>
      <c r="AC62">
        <v>4500</v>
      </c>
      <c r="AD62">
        <v>3</v>
      </c>
      <c r="AF62" t="s">
        <v>275</v>
      </c>
      <c r="AG62" t="s">
        <v>111</v>
      </c>
      <c r="AH62" t="s">
        <v>314</v>
      </c>
      <c r="AI62">
        <v>0</v>
      </c>
      <c r="AJ62">
        <v>0</v>
      </c>
      <c r="AK62">
        <v>2</v>
      </c>
      <c r="AL62">
        <v>2</v>
      </c>
      <c r="AM62">
        <v>1</v>
      </c>
      <c r="AN62">
        <v>20</v>
      </c>
      <c r="AO62">
        <v>1088</v>
      </c>
      <c r="AP62">
        <v>0</v>
      </c>
      <c r="AQ62">
        <v>1088</v>
      </c>
      <c r="AR62">
        <v>0</v>
      </c>
      <c r="AS62">
        <v>0</v>
      </c>
      <c r="AT62">
        <v>645</v>
      </c>
      <c r="AU62">
        <v>0</v>
      </c>
      <c r="AV62">
        <v>100</v>
      </c>
      <c r="AW62">
        <v>100</v>
      </c>
      <c r="AX62">
        <v>1437673</v>
      </c>
      <c r="AY62">
        <v>1351413</v>
      </c>
      <c r="AZ62">
        <v>202</v>
      </c>
      <c r="BA62">
        <v>202</v>
      </c>
      <c r="BB62">
        <v>0</v>
      </c>
      <c r="BC62">
        <v>0</v>
      </c>
      <c r="BD62" s="6">
        <v>45090</v>
      </c>
      <c r="BE62" t="s">
        <v>121</v>
      </c>
      <c r="BF62">
        <v>1295000</v>
      </c>
      <c r="BG62">
        <v>1295000</v>
      </c>
      <c r="BH62" t="s">
        <v>198</v>
      </c>
      <c r="BI62">
        <v>30</v>
      </c>
      <c r="BJ62" t="s">
        <v>51</v>
      </c>
      <c r="BK62" t="s">
        <v>314</v>
      </c>
      <c r="BL62">
        <v>1198300</v>
      </c>
      <c r="BM62">
        <v>120000</v>
      </c>
      <c r="BN62">
        <v>1078300</v>
      </c>
      <c r="BO62">
        <v>0</v>
      </c>
      <c r="BP62">
        <v>0.92532818532818528</v>
      </c>
      <c r="BQ62">
        <v>1199024.5718184251</v>
      </c>
      <c r="BR62">
        <v>1230973.28828833</v>
      </c>
      <c r="BS62" s="7">
        <f>(BR62-BL62)/BL62</f>
        <v>2.7266367594366986E-2</v>
      </c>
      <c r="BT62" s="14">
        <f>(Sales[[#This Row],[DP1]]*Lookups!$B$51)+(Sales[[#This Row],[DP2]]*Lookups!$B$52)+(Sales[[#This Row],[DP3]]*Lookups!$B$53)</f>
        <v>-31948.724000000002</v>
      </c>
      <c r="BU62" s="14">
        <f>Lookups!$B$48*0.5</f>
        <v>87214.824999999997</v>
      </c>
      <c r="BV62" s="14">
        <f>Lookups!$B$48*0.5</f>
        <v>87214.824999999997</v>
      </c>
      <c r="BW62" s="14">
        <f>Lookups!$B$49*Sales[[#This Row],[LnAcres]]</f>
        <v>-16852.363784024325</v>
      </c>
      <c r="BX62" s="14">
        <f>VLOOKUP(Sales[[#This Row],[Qlty]],Lookups!$A$54:$E$67,2,FALSE)</f>
        <v>370835.85488</v>
      </c>
      <c r="BY62" s="14">
        <f>VLOOKUP(Sales[[#This Row],[Cnd]],Lookups!$A$68:$E$76,2,FALSE)</f>
        <v>106557.38887</v>
      </c>
      <c r="BZ62" s="14">
        <f>Sales[[#This Row],[Age]]*Lookups!$B$77</f>
        <v>5166.3480399999999</v>
      </c>
      <c r="CA62" s="14">
        <f>Sales[[#This Row],[MainFn]]*Lookups!$B$78</f>
        <v>209391.964229</v>
      </c>
      <c r="CB62" s="14">
        <f>Sales[[#This Row],[UpprFn]]*Lookups!$B$79</f>
        <v>0</v>
      </c>
      <c r="CC62" s="14">
        <f>Sales[[#This Row],[AddFn]]*Lookups!$B$80</f>
        <v>0</v>
      </c>
      <c r="CD62" s="14">
        <f>Sales[[#This Row],[Bsmt]]*Lookups!$B$81</f>
        <v>39022.209512000001</v>
      </c>
      <c r="CE62" s="14">
        <f>Sales[[#This Row],[Fixtures]]*Lookups!$B$84</f>
        <v>203102</v>
      </c>
      <c r="CF62" s="14">
        <f>Sales[[#This Row],[MsnryFP]]*Lookups!$B$82</f>
        <v>0</v>
      </c>
      <c r="CG62" s="14">
        <f>Sales[[#This Row],[PrefabFP]]*Lookups!$B$83</f>
        <v>84182.043999999994</v>
      </c>
      <c r="CH62" s="14">
        <f>Sales[[#This Row],[GarageArea]]*Lookups!$B$85</f>
        <v>55138.204736</v>
      </c>
      <c r="CI62" s="14">
        <f>SUM(Sales[[#This Row],[Days Prior Total]:[Mdl GarageArea]])</f>
        <v>1199024.5764829756</v>
      </c>
      <c r="CJ62" s="14">
        <f>ROUND(Sales[[#This Row],[25Det]],-2)</f>
        <v>0</v>
      </c>
      <c r="CK62" s="14">
        <f>ROUND(SUM(Sales[[#This Row],[Mdl Qlty]:[Mdl GarageArea]])+Sales[[#This Row],[Mdl Res Intercept]]+Sales[[#This Row],[Days Prior Total]],-2)</f>
        <v>1128700</v>
      </c>
      <c r="CL62" s="14">
        <f>ROUND(Sales[[#This Row],[Mdl Land Intercept]]+Sales[[#This Row],[Mdl LnAcres]],-2)</f>
        <v>70400</v>
      </c>
      <c r="CM62" s="14">
        <f>Sales[[#This Row],[Unadj Res Value]]+Sales[[#This Row],[Unadj Det Value]]+Sales[[#This Row],[Unadj Land Value]]</f>
        <v>1199100</v>
      </c>
      <c r="CN62" s="15">
        <f>Sales[[#This Row],[Unadj Total Value]]/Sales[[#This Row],[Price]]</f>
        <v>0.92594594594594593</v>
      </c>
      <c r="CO62" s="15">
        <f>(Sales[[#This Row],[Unadj Total Value]]-Sales[[#This Row],[24Final]])/Sales[[#This Row],[24Final]]</f>
        <v>6.6761245097221068E-4</v>
      </c>
      <c r="CP62">
        <f>VLOOKUP(Sales[[#This Row],[TNbhd]],Lookups!$M$2:$P$4,4,FALSE)</f>
        <v>0.97570000000000001</v>
      </c>
      <c r="CQ62">
        <f>VLOOKUP(Sales[[#This Row],[Qlty]],Lookups!$M$6:$P$20,4,FALSE)</f>
        <v>0.99470000000000003</v>
      </c>
      <c r="CR62">
        <f>VLOOKUP(Sales[[#This Row],[Cnd]],Lookups!$R$6:$U$15,4,FALSE)</f>
        <v>0.9748</v>
      </c>
      <c r="CS62">
        <f>VLOOKUP(Sales[[#This Row],[LivArea Range]],Lookups!$R$23:$U$39,4,FALSE)</f>
        <v>1.0087999999999999</v>
      </c>
      <c r="CT62">
        <f>VLOOKUP(Sales[[#This Row],[Decade]],Lookups!$M$23:$P$35,4,FALSE)</f>
        <v>1.0059</v>
      </c>
      <c r="CU62">
        <f>Sales[[#This Row],[Nbhd Adj]]*0.95</f>
        <v>0.92691499999999993</v>
      </c>
      <c r="CV62">
        <f>Sales[[#This Row],[Nbhd Adj]]*Sales[[#This Row],[Quality Adj]]*Sales[[#This Row],[Condition Adj]]*Sales[[#This Row],[Living Area Adj]]*Sales[[#This Row],[Decade Adj]]*0.95</f>
        <v>0.91202644329794536</v>
      </c>
      <c r="CW62">
        <f>ROUND(SUM(Sales[[#This Row],[Mdl Qlty]:[Mdl GarageArea]])+Sales[[#This Row],[Mdl Res Intercept]]*Sales[[#This Row],[Res Adj ]],-2)</f>
        <v>1152900</v>
      </c>
      <c r="CX62">
        <f>ROUND(Sales[[#This Row],[25Det]]*Sales[[#This Row],[Det/Nbhd Adj]],-2)</f>
        <v>0</v>
      </c>
      <c r="CY62">
        <f>Sales[[#This Row],[Adjusted Res]]+Sales[[#This Row],[Adj Det ]]</f>
        <v>1152900</v>
      </c>
      <c r="CZ62">
        <f>ROUND((Sales[[#This Row],[Mdl Land Intercept]]+Sales[[#This Row],[Mdl LnAcres]])*Sales[[#This Row],[Det/Nbhd Adj]],-2)</f>
        <v>65200</v>
      </c>
      <c r="DA62">
        <f>Sales[[#This Row],[Adjusted Impr Total]]+Sales[[#This Row],[Adjusted Land Total]]</f>
        <v>1218100</v>
      </c>
      <c r="DB62">
        <f>IFERROR((Sales[[#This Row],[Adjusted Impr Total]]-Sales[[#This Row],[24Bldg]])/Sales[[#This Row],[24Bldg]],0)</f>
        <v>6.918297319855328E-2</v>
      </c>
      <c r="DC62">
        <f>(Sales[[#This Row],[Adjusted Land Total]]-Sales[[#This Row],[24Lnd]])/Sales[[#This Row],[24Lnd]]</f>
        <v>-0.45666666666666667</v>
      </c>
      <c r="DD62">
        <f>(Sales[[#This Row],[Adjusted Total]]-Sales[[#This Row],[24Final]])/Sales[[#This Row],[24Final]]</f>
        <v>1.6523408161562215E-2</v>
      </c>
      <c r="DE62">
        <f>(Sales[[#This Row],[Adjusted Total]]+Sales[[#This Row],[Days Prior Total]])/Sales[[#This Row],[Price]]</f>
        <v>0.91594693127413129</v>
      </c>
    </row>
    <row r="63" spans="1:109" x14ac:dyDescent="0.3">
      <c r="A63">
        <v>2025</v>
      </c>
      <c r="B63">
        <v>17132424433</v>
      </c>
      <c r="C63">
        <v>0</v>
      </c>
      <c r="D63">
        <v>1</v>
      </c>
      <c r="E63">
        <v>43563</v>
      </c>
      <c r="F63">
        <v>1</v>
      </c>
      <c r="G63" t="s">
        <v>89</v>
      </c>
      <c r="H63">
        <v>3042</v>
      </c>
      <c r="I63" t="s">
        <v>302</v>
      </c>
      <c r="J63" t="s">
        <v>26</v>
      </c>
      <c r="K63">
        <v>11</v>
      </c>
      <c r="L63">
        <v>259</v>
      </c>
      <c r="M63" t="s">
        <v>204</v>
      </c>
      <c r="N63" t="s">
        <v>75</v>
      </c>
      <c r="O63" t="s">
        <v>207</v>
      </c>
      <c r="P63">
        <v>1996</v>
      </c>
      <c r="Q63">
        <v>1996</v>
      </c>
      <c r="R63">
        <v>30</v>
      </c>
      <c r="S63">
        <v>28</v>
      </c>
      <c r="T63">
        <v>28</v>
      </c>
      <c r="U63">
        <v>1</v>
      </c>
      <c r="V63">
        <v>2104</v>
      </c>
      <c r="W63">
        <v>0</v>
      </c>
      <c r="X63">
        <v>312</v>
      </c>
      <c r="Y63">
        <v>0</v>
      </c>
      <c r="Z63">
        <v>0</v>
      </c>
      <c r="AA63">
        <v>0</v>
      </c>
      <c r="AB63">
        <v>2416</v>
      </c>
      <c r="AC63">
        <v>2500</v>
      </c>
      <c r="AD63">
        <v>3</v>
      </c>
      <c r="AE63" t="s">
        <v>5</v>
      </c>
      <c r="AF63" t="s">
        <v>275</v>
      </c>
      <c r="AG63" t="s">
        <v>274</v>
      </c>
      <c r="AH63" t="s">
        <v>314</v>
      </c>
      <c r="AI63">
        <v>0</v>
      </c>
      <c r="AJ63">
        <v>0</v>
      </c>
      <c r="AK63">
        <v>1</v>
      </c>
      <c r="AL63">
        <v>1</v>
      </c>
      <c r="AM63">
        <v>0</v>
      </c>
      <c r="AN63">
        <v>13</v>
      </c>
      <c r="AO63">
        <v>568</v>
      </c>
      <c r="AP63">
        <v>0</v>
      </c>
      <c r="AQ63">
        <v>568</v>
      </c>
      <c r="AR63">
        <v>0</v>
      </c>
      <c r="AS63">
        <v>0</v>
      </c>
      <c r="AT63">
        <v>144</v>
      </c>
      <c r="AU63">
        <v>0</v>
      </c>
      <c r="AV63">
        <v>100</v>
      </c>
      <c r="AW63">
        <v>100</v>
      </c>
      <c r="AX63">
        <v>487816</v>
      </c>
      <c r="AY63">
        <v>448791</v>
      </c>
      <c r="AZ63">
        <v>480</v>
      </c>
      <c r="BA63">
        <v>365</v>
      </c>
      <c r="BB63">
        <v>115</v>
      </c>
      <c r="BC63">
        <v>0</v>
      </c>
      <c r="BD63" s="6">
        <v>44812</v>
      </c>
      <c r="BE63" t="s">
        <v>39</v>
      </c>
      <c r="BF63">
        <v>565000</v>
      </c>
      <c r="BG63">
        <v>534479</v>
      </c>
      <c r="BH63" t="s">
        <v>198</v>
      </c>
      <c r="BI63">
        <v>30</v>
      </c>
      <c r="BJ63" t="s">
        <v>51</v>
      </c>
      <c r="BK63" t="s">
        <v>314</v>
      </c>
      <c r="BL63">
        <v>631900</v>
      </c>
      <c r="BM63">
        <v>160500</v>
      </c>
      <c r="BN63">
        <v>471400</v>
      </c>
      <c r="BO63">
        <v>30521</v>
      </c>
      <c r="BP63">
        <v>1.1184070796460177</v>
      </c>
      <c r="BQ63">
        <v>562174.71992086479</v>
      </c>
      <c r="BR63">
        <v>608962.213544055</v>
      </c>
      <c r="BS63" s="7">
        <f>(BR63-BL63)/BL63</f>
        <v>-3.6299709536231989E-2</v>
      </c>
      <c r="BT63" s="14">
        <f>(Sales[[#This Row],[DP1]]*Lookups!$B$51)+(Sales[[#This Row],[DP2]]*Lookups!$B$52)+(Sales[[#This Row],[DP3]]*Lookups!$B$53)</f>
        <v>-46787.507210000003</v>
      </c>
      <c r="BU63" s="14">
        <f>Lookups!$B$48*0.5</f>
        <v>87214.824999999997</v>
      </c>
      <c r="BV63" s="14">
        <f>Lookups!$B$48*0.5</f>
        <v>87214.824999999997</v>
      </c>
      <c r="BW63" s="14">
        <f>Lookups!$B$49*Sales[[#This Row],[LnAcres]]</f>
        <v>0</v>
      </c>
      <c r="BX63" s="14">
        <f>VLOOKUP(Sales[[#This Row],[Qlty]],Lookups!$A$54:$E$67,2,FALSE)</f>
        <v>19189.450408000001</v>
      </c>
      <c r="BY63" s="14">
        <f>VLOOKUP(Sales[[#This Row],[Cnd]],Lookups!$A$68:$E$76,2,FALSE)</f>
        <v>47273.897095</v>
      </c>
      <c r="BZ63" s="14">
        <f>Sales[[#This Row],[Age]]*Lookups!$B$77</f>
        <v>5166.3480399999999</v>
      </c>
      <c r="CA63" s="14">
        <f>Sales[[#This Row],[MainFn]]*Lookups!$B$78</f>
        <v>145351.597736</v>
      </c>
      <c r="CB63" s="14">
        <f>Sales[[#This Row],[UpprFn]]*Lookups!$B$79</f>
        <v>0</v>
      </c>
      <c r="CC63" s="14">
        <f>Sales[[#This Row],[AddFn]]*Lookups!$B$80</f>
        <v>14658.570888</v>
      </c>
      <c r="CD63" s="14">
        <f>Sales[[#This Row],[Bsmt]]*Lookups!$B$81</f>
        <v>0</v>
      </c>
      <c r="CE63" s="14">
        <f>Sales[[#This Row],[Fixtures]]*Lookups!$B$84</f>
        <v>132016.30000000002</v>
      </c>
      <c r="CF63" s="14">
        <f>Sales[[#This Row],[MsnryFP]]*Lookups!$B$82</f>
        <v>0</v>
      </c>
      <c r="CG63" s="14">
        <f>Sales[[#This Row],[PrefabFP]]*Lookups!$B$83</f>
        <v>42091.021999999997</v>
      </c>
      <c r="CH63" s="14">
        <f>Sales[[#This Row],[GarageArea]]*Lookups!$B$85</f>
        <v>28785.386296000001</v>
      </c>
      <c r="CI63" s="14">
        <f>SUM(Sales[[#This Row],[Days Prior Total]:[Mdl GarageArea]])</f>
        <v>562174.71525300003</v>
      </c>
      <c r="CJ63" s="14">
        <f>ROUND(Sales[[#This Row],[25Det]],-2)</f>
        <v>30500</v>
      </c>
      <c r="CK63" s="14">
        <f>ROUND(SUM(Sales[[#This Row],[Mdl Qlty]:[Mdl GarageArea]])+Sales[[#This Row],[Mdl Res Intercept]]+Sales[[#This Row],[Days Prior Total]],-2)</f>
        <v>475000</v>
      </c>
      <c r="CL63" s="14">
        <f>ROUND(Sales[[#This Row],[Mdl Land Intercept]]+Sales[[#This Row],[Mdl LnAcres]],-2)</f>
        <v>87200</v>
      </c>
      <c r="CM63" s="14">
        <f>Sales[[#This Row],[Unadj Res Value]]+Sales[[#This Row],[Unadj Det Value]]+Sales[[#This Row],[Unadj Land Value]]</f>
        <v>592700</v>
      </c>
      <c r="CN63" s="15">
        <f>Sales[[#This Row],[Unadj Total Value]]/Sales[[#This Row],[Price]]</f>
        <v>1.0490265486725663</v>
      </c>
      <c r="CO63" s="15">
        <f>(Sales[[#This Row],[Unadj Total Value]]-Sales[[#This Row],[24Final]])/Sales[[#This Row],[24Final]]</f>
        <v>-6.2035132141161575E-2</v>
      </c>
      <c r="CP63">
        <f>VLOOKUP(Sales[[#This Row],[TNbhd]],Lookups!$M$2:$P$4,4,FALSE)</f>
        <v>0.97570000000000001</v>
      </c>
      <c r="CQ63">
        <f>VLOOKUP(Sales[[#This Row],[Qlty]],Lookups!$M$6:$P$20,4,FALSE)</f>
        <v>0.9819</v>
      </c>
      <c r="CR63">
        <f>VLOOKUP(Sales[[#This Row],[Cnd]],Lookups!$R$6:$U$15,4,FALSE)</f>
        <v>0.97829999999999995</v>
      </c>
      <c r="CS63">
        <f>VLOOKUP(Sales[[#This Row],[LivArea Range]],Lookups!$R$23:$U$39,4,FALSE)</f>
        <v>0.93440000000000001</v>
      </c>
      <c r="CT63">
        <f>VLOOKUP(Sales[[#This Row],[Decade]],Lookups!$M$23:$P$35,4,FALSE)</f>
        <v>1.0059</v>
      </c>
      <c r="CU63">
        <f>Sales[[#This Row],[Nbhd Adj]]*0.95</f>
        <v>0.92691499999999993</v>
      </c>
      <c r="CV63">
        <f>Sales[[#This Row],[Nbhd Adj]]*Sales[[#This Row],[Quality Adj]]*Sales[[#This Row],[Condition Adj]]*Sales[[#This Row],[Living Area Adj]]*Sales[[#This Row],[Decade Adj]]*0.95</f>
        <v>0.83688707720203892</v>
      </c>
      <c r="CW63">
        <f>ROUND(SUM(Sales[[#This Row],[Mdl Qlty]:[Mdl GarageArea]])+Sales[[#This Row],[Mdl Res Intercept]]*Sales[[#This Row],[Res Adj ]],-2)</f>
        <v>507500</v>
      </c>
      <c r="CX63">
        <f>ROUND(Sales[[#This Row],[25Det]]*Sales[[#This Row],[Det/Nbhd Adj]],-2)</f>
        <v>28300</v>
      </c>
      <c r="CY63">
        <f>Sales[[#This Row],[Adjusted Res]]+Sales[[#This Row],[Adj Det ]]</f>
        <v>535800</v>
      </c>
      <c r="CZ63">
        <f>ROUND((Sales[[#This Row],[Mdl Land Intercept]]+Sales[[#This Row],[Mdl LnAcres]])*Sales[[#This Row],[Det/Nbhd Adj]],-2)</f>
        <v>80800</v>
      </c>
      <c r="DA63">
        <f>Sales[[#This Row],[Adjusted Impr Total]]+Sales[[#This Row],[Adjusted Land Total]]</f>
        <v>616600</v>
      </c>
      <c r="DB63">
        <f>IFERROR((Sales[[#This Row],[Adjusted Impr Total]]-Sales[[#This Row],[24Bldg]])/Sales[[#This Row],[24Bldg]],0)</f>
        <v>0.13661434026304625</v>
      </c>
      <c r="DC63">
        <f>(Sales[[#This Row],[Adjusted Land Total]]-Sales[[#This Row],[24Lnd]])/Sales[[#This Row],[24Lnd]]</f>
        <v>-0.49657320872274141</v>
      </c>
      <c r="DD63">
        <f>(Sales[[#This Row],[Adjusted Total]]-Sales[[#This Row],[24Final]])/Sales[[#This Row],[24Final]]</f>
        <v>-2.4212691881626839E-2</v>
      </c>
      <c r="DE63">
        <f>(Sales[[#This Row],[Adjusted Total]]+Sales[[#This Row],[Days Prior Total]])/Sales[[#This Row],[Price]]</f>
        <v>1.0085176863539824</v>
      </c>
    </row>
    <row r="64" spans="1:109" x14ac:dyDescent="0.3">
      <c r="A64">
        <v>2025</v>
      </c>
      <c r="B64">
        <v>18131742437</v>
      </c>
      <c r="C64">
        <v>-0.26136476413440751</v>
      </c>
      <c r="D64">
        <v>0.77</v>
      </c>
      <c r="E64">
        <v>0</v>
      </c>
      <c r="F64">
        <v>1</v>
      </c>
      <c r="G64" t="s">
        <v>89</v>
      </c>
      <c r="H64" t="s">
        <v>203</v>
      </c>
      <c r="I64" t="s">
        <v>302</v>
      </c>
      <c r="J64" t="s">
        <v>110</v>
      </c>
      <c r="K64">
        <v>11</v>
      </c>
      <c r="L64">
        <v>259</v>
      </c>
      <c r="M64" t="s">
        <v>313</v>
      </c>
      <c r="N64" t="s">
        <v>274</v>
      </c>
      <c r="O64" t="s">
        <v>258</v>
      </c>
      <c r="P64">
        <v>1995</v>
      </c>
      <c r="Q64">
        <v>1995</v>
      </c>
      <c r="R64">
        <v>30</v>
      </c>
      <c r="S64">
        <v>29</v>
      </c>
      <c r="T64">
        <v>29</v>
      </c>
      <c r="U64">
        <v>2</v>
      </c>
      <c r="V64">
        <v>1616</v>
      </c>
      <c r="W64">
        <v>1638</v>
      </c>
      <c r="X64">
        <v>0</v>
      </c>
      <c r="Y64">
        <v>0</v>
      </c>
      <c r="Z64">
        <v>0</v>
      </c>
      <c r="AA64">
        <v>0</v>
      </c>
      <c r="AB64">
        <v>3254</v>
      </c>
      <c r="AC64">
        <v>3500</v>
      </c>
      <c r="AD64">
        <v>3</v>
      </c>
      <c r="AF64" t="s">
        <v>275</v>
      </c>
      <c r="AG64" t="s">
        <v>111</v>
      </c>
      <c r="AH64" t="s">
        <v>314</v>
      </c>
      <c r="AI64">
        <v>0</v>
      </c>
      <c r="AJ64">
        <v>2</v>
      </c>
      <c r="AK64">
        <v>0</v>
      </c>
      <c r="AL64">
        <v>0</v>
      </c>
      <c r="AM64">
        <v>1</v>
      </c>
      <c r="AN64">
        <v>13</v>
      </c>
      <c r="AO64">
        <v>0</v>
      </c>
      <c r="AP64">
        <v>1102</v>
      </c>
      <c r="AQ64">
        <v>1102</v>
      </c>
      <c r="AR64">
        <v>0</v>
      </c>
      <c r="AS64">
        <v>216</v>
      </c>
      <c r="AT64">
        <v>0</v>
      </c>
      <c r="AU64">
        <v>0</v>
      </c>
      <c r="AV64">
        <v>100</v>
      </c>
      <c r="AW64">
        <v>100</v>
      </c>
      <c r="AX64">
        <v>929744</v>
      </c>
      <c r="AY64">
        <v>873959</v>
      </c>
      <c r="AZ64">
        <v>542</v>
      </c>
      <c r="BA64">
        <v>365</v>
      </c>
      <c r="BB64">
        <v>177</v>
      </c>
      <c r="BC64">
        <v>0</v>
      </c>
      <c r="BD64" s="6">
        <v>44750</v>
      </c>
      <c r="BE64" t="s">
        <v>214</v>
      </c>
      <c r="BF64">
        <v>1050000</v>
      </c>
      <c r="BG64">
        <v>968787</v>
      </c>
      <c r="BH64" t="s">
        <v>198</v>
      </c>
      <c r="BI64">
        <v>30</v>
      </c>
      <c r="BJ64" t="s">
        <v>51</v>
      </c>
      <c r="BK64" t="s">
        <v>314</v>
      </c>
      <c r="BL64">
        <v>873900</v>
      </c>
      <c r="BM64">
        <v>145700</v>
      </c>
      <c r="BN64">
        <v>728200</v>
      </c>
      <c r="BO64">
        <v>81213</v>
      </c>
      <c r="BP64">
        <v>0.8322857142857143</v>
      </c>
      <c r="BQ64">
        <v>932518.12362439348</v>
      </c>
      <c r="BR64">
        <v>973406.65540612373</v>
      </c>
      <c r="BS64" s="7">
        <f>(BR64-BL64)/BL64</f>
        <v>0.11386503651003974</v>
      </c>
      <c r="BT64" s="14">
        <f>(Sales[[#This Row],[DP1]]*Lookups!$B$51)+(Sales[[#This Row],[DP2]]*Lookups!$B$52)+(Sales[[#This Row],[DP3]]*Lookups!$B$53)</f>
        <v>-40888.545358000003</v>
      </c>
      <c r="BU64" s="14">
        <f>Lookups!$B$48*0.5</f>
        <v>87214.824999999997</v>
      </c>
      <c r="BV64" s="14">
        <f>Lookups!$B$48*0.5</f>
        <v>87214.824999999997</v>
      </c>
      <c r="BW64" s="14">
        <f>Lookups!$B$49*Sales[[#This Row],[LnAcres]]</f>
        <v>-6541.3970665822753</v>
      </c>
      <c r="BX64" s="14">
        <f>VLOOKUP(Sales[[#This Row],[Qlty]],Lookups!$A$54:$E$67,2,FALSE)</f>
        <v>243340.36395999999</v>
      </c>
      <c r="BY64" s="14">
        <f>VLOOKUP(Sales[[#This Row],[Cnd]],Lookups!$A$68:$E$76,2,FALSE)</f>
        <v>106557.38887</v>
      </c>
      <c r="BZ64" s="14">
        <f>Sales[[#This Row],[Age]]*Lookups!$B$77</f>
        <v>5350.8604699999996</v>
      </c>
      <c r="CA64" s="14">
        <f>Sales[[#This Row],[MainFn]]*Lookups!$B$78</f>
        <v>111638.86974400001</v>
      </c>
      <c r="CB64" s="14">
        <f>Sales[[#This Row],[UpprFn]]*Lookups!$B$79</f>
        <v>100219.67865</v>
      </c>
      <c r="CC64" s="14">
        <f>Sales[[#This Row],[AddFn]]*Lookups!$B$80</f>
        <v>0</v>
      </c>
      <c r="CD64" s="14">
        <f>Sales[[#This Row],[Bsmt]]*Lookups!$B$81</f>
        <v>0</v>
      </c>
      <c r="CE64" s="14">
        <f>Sales[[#This Row],[Fixtures]]*Lookups!$B$84</f>
        <v>132016.30000000002</v>
      </c>
      <c r="CF64" s="14">
        <f>Sales[[#This Row],[MsnryFP]]*Lookups!$B$82</f>
        <v>50547.245999999999</v>
      </c>
      <c r="CG64" s="14">
        <f>Sales[[#This Row],[PrefabFP]]*Lookups!$B$83</f>
        <v>0</v>
      </c>
      <c r="CH64" s="14">
        <f>Sales[[#This Row],[GarageArea]]*Lookups!$B$85</f>
        <v>55847.703694000003</v>
      </c>
      <c r="CI64" s="14">
        <f>SUM(Sales[[#This Row],[Days Prior Total]:[Mdl GarageArea]])</f>
        <v>932518.11896341783</v>
      </c>
      <c r="CJ64" s="14">
        <f>ROUND(Sales[[#This Row],[25Det]],-2)</f>
        <v>81200</v>
      </c>
      <c r="CK64" s="14">
        <f>ROUND(SUM(Sales[[#This Row],[Mdl Qlty]:[Mdl GarageArea]])+Sales[[#This Row],[Mdl Res Intercept]]+Sales[[#This Row],[Days Prior Total]],-2)</f>
        <v>851800</v>
      </c>
      <c r="CL64" s="14">
        <f>ROUND(Sales[[#This Row],[Mdl Land Intercept]]+Sales[[#This Row],[Mdl LnAcres]],-2)</f>
        <v>80700</v>
      </c>
      <c r="CM64" s="14">
        <f>Sales[[#This Row],[Unadj Res Value]]+Sales[[#This Row],[Unadj Det Value]]+Sales[[#This Row],[Unadj Land Value]]</f>
        <v>1013700</v>
      </c>
      <c r="CN64" s="15">
        <f>Sales[[#This Row],[Unadj Total Value]]/Sales[[#This Row],[Price]]</f>
        <v>0.96542857142857141</v>
      </c>
      <c r="CO64" s="15">
        <f>(Sales[[#This Row],[Unadj Total Value]]-Sales[[#This Row],[24Final]])/Sales[[#This Row],[24Final]]</f>
        <v>0.15997253690353588</v>
      </c>
      <c r="CP64">
        <f>VLOOKUP(Sales[[#This Row],[TNbhd]],Lookups!$M$2:$P$4,4,FALSE)</f>
        <v>0.97570000000000001</v>
      </c>
      <c r="CQ64">
        <f>VLOOKUP(Sales[[#This Row],[Qlty]],Lookups!$M$6:$P$20,4,FALSE)</f>
        <v>0.99519999999999997</v>
      </c>
      <c r="CR64">
        <f>VLOOKUP(Sales[[#This Row],[Cnd]],Lookups!$R$6:$U$15,4,FALSE)</f>
        <v>0.9748</v>
      </c>
      <c r="CS64">
        <f>VLOOKUP(Sales[[#This Row],[LivArea Range]],Lookups!$R$23:$U$39,4,FALSE)</f>
        <v>0.99619999999999997</v>
      </c>
      <c r="CT64">
        <f>VLOOKUP(Sales[[#This Row],[Decade]],Lookups!$M$23:$P$35,4,FALSE)</f>
        <v>1.0059</v>
      </c>
      <c r="CU64">
        <f>Sales[[#This Row],[Nbhd Adj]]*0.95</f>
        <v>0.92691499999999993</v>
      </c>
      <c r="CV64">
        <f>Sales[[#This Row],[Nbhd Adj]]*Sales[[#This Row],[Quality Adj]]*Sales[[#This Row],[Condition Adj]]*Sales[[#This Row],[Living Area Adj]]*Sales[[#This Row],[Decade Adj]]*0.95</f>
        <v>0.90108787043964733</v>
      </c>
      <c r="CW64">
        <f>ROUND(SUM(Sales[[#This Row],[Mdl Qlty]:[Mdl GarageArea]])+Sales[[#This Row],[Mdl Res Intercept]]*Sales[[#This Row],[Res Adj ]],-2)</f>
        <v>884100</v>
      </c>
      <c r="CX64">
        <f>ROUND(Sales[[#This Row],[25Det]]*Sales[[#This Row],[Det/Nbhd Adj]],-2)</f>
        <v>75300</v>
      </c>
      <c r="CY64">
        <f>Sales[[#This Row],[Adjusted Res]]+Sales[[#This Row],[Adj Det ]]</f>
        <v>959400</v>
      </c>
      <c r="CZ64">
        <f>ROUND((Sales[[#This Row],[Mdl Land Intercept]]+Sales[[#This Row],[Mdl LnAcres]])*Sales[[#This Row],[Det/Nbhd Adj]],-2)</f>
        <v>74800</v>
      </c>
      <c r="DA64">
        <f>Sales[[#This Row],[Adjusted Impr Total]]+Sales[[#This Row],[Adjusted Land Total]]</f>
        <v>1034200</v>
      </c>
      <c r="DB64">
        <f>IFERROR((Sales[[#This Row],[Adjusted Impr Total]]-Sales[[#This Row],[24Bldg]])/Sales[[#This Row],[24Bldg]],0)</f>
        <v>0.31749519362812412</v>
      </c>
      <c r="DC64">
        <f>(Sales[[#This Row],[Adjusted Land Total]]-Sales[[#This Row],[24Lnd]])/Sales[[#This Row],[24Lnd]]</f>
        <v>-0.48661633493479756</v>
      </c>
      <c r="DD64">
        <f>(Sales[[#This Row],[Adjusted Total]]-Sales[[#This Row],[24Final]])/Sales[[#This Row],[24Final]]</f>
        <v>0.18343059846664378</v>
      </c>
      <c r="DE64">
        <f>(Sales[[#This Row],[Adjusted Total]]+Sales[[#This Row],[Days Prior Total]])/Sales[[#This Row],[Price]]</f>
        <v>0.94601090918285713</v>
      </c>
    </row>
    <row r="65" spans="1:109" x14ac:dyDescent="0.3">
      <c r="A65">
        <v>2025</v>
      </c>
      <c r="B65">
        <v>18131723412</v>
      </c>
      <c r="C65">
        <v>2.9558802241544429E-2</v>
      </c>
      <c r="D65">
        <v>1.03</v>
      </c>
      <c r="E65">
        <v>44958</v>
      </c>
      <c r="F65">
        <v>1</v>
      </c>
      <c r="G65" t="s">
        <v>89</v>
      </c>
      <c r="H65" t="s">
        <v>203</v>
      </c>
      <c r="I65" t="s">
        <v>302</v>
      </c>
      <c r="J65" t="s">
        <v>26</v>
      </c>
      <c r="K65">
        <v>11</v>
      </c>
      <c r="L65">
        <v>259</v>
      </c>
      <c r="M65" t="s">
        <v>313</v>
      </c>
      <c r="N65" t="s">
        <v>206</v>
      </c>
      <c r="O65" t="s">
        <v>258</v>
      </c>
      <c r="P65">
        <v>1995</v>
      </c>
      <c r="Q65">
        <v>1995</v>
      </c>
      <c r="R65">
        <v>30</v>
      </c>
      <c r="S65">
        <v>29</v>
      </c>
      <c r="T65">
        <v>29</v>
      </c>
      <c r="U65">
        <v>2</v>
      </c>
      <c r="V65">
        <v>2615</v>
      </c>
      <c r="W65">
        <v>1320</v>
      </c>
      <c r="X65">
        <v>0</v>
      </c>
      <c r="Y65">
        <v>0</v>
      </c>
      <c r="Z65">
        <v>0</v>
      </c>
      <c r="AA65">
        <v>0</v>
      </c>
      <c r="AB65">
        <v>3935</v>
      </c>
      <c r="AC65">
        <v>4000</v>
      </c>
      <c r="AD65">
        <v>0</v>
      </c>
      <c r="AF65" t="s">
        <v>275</v>
      </c>
      <c r="AG65" t="s">
        <v>111</v>
      </c>
      <c r="AH65" t="s">
        <v>314</v>
      </c>
      <c r="AI65">
        <v>0</v>
      </c>
      <c r="AJ65">
        <v>0</v>
      </c>
      <c r="AK65">
        <v>4</v>
      </c>
      <c r="AL65">
        <v>0</v>
      </c>
      <c r="AM65">
        <v>0</v>
      </c>
      <c r="AN65">
        <v>15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680</v>
      </c>
      <c r="AU65">
        <v>0</v>
      </c>
      <c r="AV65">
        <v>100</v>
      </c>
      <c r="AW65">
        <v>100</v>
      </c>
      <c r="AX65">
        <v>1216361</v>
      </c>
      <c r="AY65">
        <v>1143379</v>
      </c>
      <c r="AZ65">
        <v>602</v>
      </c>
      <c r="BA65">
        <v>365</v>
      </c>
      <c r="BB65">
        <v>237</v>
      </c>
      <c r="BC65">
        <v>0</v>
      </c>
      <c r="BD65" s="6">
        <v>44690</v>
      </c>
      <c r="BE65" t="s">
        <v>324</v>
      </c>
      <c r="BF65">
        <v>1350000</v>
      </c>
      <c r="BG65">
        <v>1230432</v>
      </c>
      <c r="BH65" t="s">
        <v>198</v>
      </c>
      <c r="BI65">
        <v>30</v>
      </c>
      <c r="BJ65" t="s">
        <v>51</v>
      </c>
      <c r="BK65" t="s">
        <v>314</v>
      </c>
      <c r="BL65">
        <v>1117300</v>
      </c>
      <c r="BM65">
        <v>160000</v>
      </c>
      <c r="BN65">
        <v>957300</v>
      </c>
      <c r="BO65">
        <v>119568</v>
      </c>
      <c r="BP65">
        <v>0.8276296296296296</v>
      </c>
      <c r="BQ65">
        <v>1204840.6226287547</v>
      </c>
      <c r="BR65">
        <v>1240020.481660685</v>
      </c>
      <c r="BS65" s="7">
        <f>(BR65-BL65)/BL65</f>
        <v>0.10983664339092906</v>
      </c>
      <c r="BT65" s="14">
        <f>(Sales[[#This Row],[DP1]]*Lookups!$B$51)+(Sales[[#This Row],[DP2]]*Lookups!$B$52)+(Sales[[#This Row],[DP3]]*Lookups!$B$53)</f>
        <v>-35179.872598000002</v>
      </c>
      <c r="BU65" s="14">
        <f>Lookups!$B$48*0.5</f>
        <v>87214.824999999997</v>
      </c>
      <c r="BV65" s="14">
        <f>Lookups!$B$48*0.5</f>
        <v>87214.824999999997</v>
      </c>
      <c r="BW65" s="14">
        <f>Lookups!$B$49*Sales[[#This Row],[LnAcres]]</f>
        <v>739.79315044582881</v>
      </c>
      <c r="BX65" s="14">
        <f>VLOOKUP(Sales[[#This Row],[Qlty]],Lookups!$A$54:$E$67,2,FALSE)</f>
        <v>370835.85488</v>
      </c>
      <c r="BY65" s="14">
        <f>VLOOKUP(Sales[[#This Row],[Cnd]],Lookups!$A$68:$E$76,2,FALSE)</f>
        <v>106557.38887</v>
      </c>
      <c r="BZ65" s="14">
        <f>Sales[[#This Row],[Age]]*Lookups!$B$77</f>
        <v>5350.8604699999996</v>
      </c>
      <c r="CA65" s="14">
        <f>Sales[[#This Row],[MainFn]]*Lookups!$B$78</f>
        <v>180653.24528500001</v>
      </c>
      <c r="CB65" s="14">
        <f>Sales[[#This Row],[UpprFn]]*Lookups!$B$79</f>
        <v>80763.111000000004</v>
      </c>
      <c r="CC65" s="14">
        <f>Sales[[#This Row],[AddFn]]*Lookups!$B$80</f>
        <v>0</v>
      </c>
      <c r="CD65" s="14">
        <f>Sales[[#This Row],[Bsmt]]*Lookups!$B$81</f>
        <v>0</v>
      </c>
      <c r="CE65" s="14">
        <f>Sales[[#This Row],[Fixtures]]*Lookups!$B$84</f>
        <v>152326.5</v>
      </c>
      <c r="CF65" s="14">
        <f>Sales[[#This Row],[MsnryFP]]*Lookups!$B$82</f>
        <v>0</v>
      </c>
      <c r="CG65" s="14">
        <f>Sales[[#This Row],[PrefabFP]]*Lookups!$B$83</f>
        <v>168364.08799999999</v>
      </c>
      <c r="CH65" s="14">
        <f>Sales[[#This Row],[GarageArea]]*Lookups!$B$85</f>
        <v>0</v>
      </c>
      <c r="CI65" s="14">
        <f>SUM(Sales[[#This Row],[Days Prior Total]:[Mdl GarageArea]])</f>
        <v>1204840.6190574458</v>
      </c>
      <c r="CJ65" s="14">
        <f>ROUND(Sales[[#This Row],[25Det]],-2)</f>
        <v>119600</v>
      </c>
      <c r="CK65" s="14">
        <f>ROUND(SUM(Sales[[#This Row],[Mdl Qlty]:[Mdl GarageArea]])+Sales[[#This Row],[Mdl Res Intercept]]+Sales[[#This Row],[Days Prior Total]],-2)</f>
        <v>1116900</v>
      </c>
      <c r="CL65" s="14">
        <f>ROUND(Sales[[#This Row],[Mdl Land Intercept]]+Sales[[#This Row],[Mdl LnAcres]],-2)</f>
        <v>88000</v>
      </c>
      <c r="CM65" s="14">
        <f>Sales[[#This Row],[Unadj Res Value]]+Sales[[#This Row],[Unadj Det Value]]+Sales[[#This Row],[Unadj Land Value]]</f>
        <v>1324500</v>
      </c>
      <c r="CN65" s="15">
        <f>Sales[[#This Row],[Unadj Total Value]]/Sales[[#This Row],[Price]]</f>
        <v>0.98111111111111116</v>
      </c>
      <c r="CO65" s="15">
        <f>(Sales[[#This Row],[Unadj Total Value]]-Sales[[#This Row],[24Final]])/Sales[[#This Row],[24Final]]</f>
        <v>0.18544705987648796</v>
      </c>
      <c r="CP65">
        <f>VLOOKUP(Sales[[#This Row],[TNbhd]],Lookups!$M$2:$P$4,4,FALSE)</f>
        <v>0.97570000000000001</v>
      </c>
      <c r="CQ65">
        <f>VLOOKUP(Sales[[#This Row],[Qlty]],Lookups!$M$6:$P$20,4,FALSE)</f>
        <v>0.99470000000000003</v>
      </c>
      <c r="CR65">
        <f>VLOOKUP(Sales[[#This Row],[Cnd]],Lookups!$R$6:$U$15,4,FALSE)</f>
        <v>0.9748</v>
      </c>
      <c r="CS65">
        <f>VLOOKUP(Sales[[#This Row],[LivArea Range]],Lookups!$R$23:$U$39,4,FALSE)</f>
        <v>1.034</v>
      </c>
      <c r="CT65">
        <f>VLOOKUP(Sales[[#This Row],[Decade]],Lookups!$M$23:$P$35,4,FALSE)</f>
        <v>1.0059</v>
      </c>
      <c r="CU65">
        <f>Sales[[#This Row],[Nbhd Adj]]*0.95</f>
        <v>0.92691499999999993</v>
      </c>
      <c r="CV65">
        <f>Sales[[#This Row],[Nbhd Adj]]*Sales[[#This Row],[Quality Adj]]*Sales[[#This Row],[Condition Adj]]*Sales[[#This Row],[Living Area Adj]]*Sales[[#This Row],[Decade Adj]]*0.95</f>
        <v>0.93480902296795754</v>
      </c>
      <c r="CW65">
        <f>ROUND(SUM(Sales[[#This Row],[Mdl Qlty]:[Mdl GarageArea]])+Sales[[#This Row],[Mdl Res Intercept]]*Sales[[#This Row],[Res Adj ]],-2)</f>
        <v>1146400</v>
      </c>
      <c r="CX65">
        <f>ROUND(Sales[[#This Row],[25Det]]*Sales[[#This Row],[Det/Nbhd Adj]],-2)</f>
        <v>110800</v>
      </c>
      <c r="CY65">
        <f>Sales[[#This Row],[Adjusted Res]]+Sales[[#This Row],[Adj Det ]]</f>
        <v>1257200</v>
      </c>
      <c r="CZ65">
        <f>ROUND((Sales[[#This Row],[Mdl Land Intercept]]+Sales[[#This Row],[Mdl LnAcres]])*Sales[[#This Row],[Det/Nbhd Adj]],-2)</f>
        <v>81500</v>
      </c>
      <c r="DA65">
        <f>Sales[[#This Row],[Adjusted Impr Total]]+Sales[[#This Row],[Adjusted Land Total]]</f>
        <v>1338700</v>
      </c>
      <c r="DB65">
        <f>IFERROR((Sales[[#This Row],[Adjusted Impr Total]]-Sales[[#This Row],[24Bldg]])/Sales[[#This Row],[24Bldg]],0)</f>
        <v>0.31327692468400709</v>
      </c>
      <c r="DC65">
        <f>(Sales[[#This Row],[Adjusted Land Total]]-Sales[[#This Row],[24Lnd]])/Sales[[#This Row],[24Lnd]]</f>
        <v>-0.49062499999999998</v>
      </c>
      <c r="DD65">
        <f>(Sales[[#This Row],[Adjusted Total]]-Sales[[#This Row],[24Final]])/Sales[[#This Row],[24Final]]</f>
        <v>0.19815626957844804</v>
      </c>
      <c r="DE65">
        <f>(Sales[[#This Row],[Adjusted Total]]+Sales[[#This Row],[Days Prior Total]])/Sales[[#This Row],[Price]]</f>
        <v>0.96557046474222219</v>
      </c>
    </row>
    <row r="66" spans="1:109" x14ac:dyDescent="0.3">
      <c r="A66">
        <v>2025</v>
      </c>
      <c r="B66">
        <v>18131744444</v>
      </c>
      <c r="C66">
        <v>-2.9957322735539909</v>
      </c>
      <c r="D66">
        <v>0.05</v>
      </c>
      <c r="E66">
        <v>2343</v>
      </c>
      <c r="F66">
        <v>5</v>
      </c>
      <c r="G66" t="s">
        <v>25</v>
      </c>
      <c r="H66" t="s">
        <v>203</v>
      </c>
      <c r="I66" t="s">
        <v>302</v>
      </c>
      <c r="J66" t="s">
        <v>26</v>
      </c>
      <c r="K66">
        <v>11</v>
      </c>
      <c r="L66">
        <v>262</v>
      </c>
      <c r="M66" t="s">
        <v>49</v>
      </c>
      <c r="N66" t="s">
        <v>75</v>
      </c>
      <c r="O66" t="s">
        <v>207</v>
      </c>
      <c r="P66">
        <v>1995</v>
      </c>
      <c r="Q66">
        <v>1995</v>
      </c>
      <c r="R66">
        <v>30</v>
      </c>
      <c r="S66">
        <v>29</v>
      </c>
      <c r="T66">
        <v>29</v>
      </c>
      <c r="U66">
        <v>1</v>
      </c>
      <c r="V66">
        <v>1770</v>
      </c>
      <c r="W66">
        <v>0</v>
      </c>
      <c r="X66">
        <v>0</v>
      </c>
      <c r="Y66">
        <v>0</v>
      </c>
      <c r="Z66">
        <v>0</v>
      </c>
      <c r="AA66">
        <v>0</v>
      </c>
      <c r="AB66">
        <v>1770</v>
      </c>
      <c r="AC66">
        <v>2000</v>
      </c>
      <c r="AD66">
        <v>2</v>
      </c>
      <c r="AF66" t="s">
        <v>275</v>
      </c>
      <c r="AG66" t="s">
        <v>111</v>
      </c>
      <c r="AH66" t="s">
        <v>314</v>
      </c>
      <c r="AI66">
        <v>0</v>
      </c>
      <c r="AJ66">
        <v>0</v>
      </c>
      <c r="AK66">
        <v>1</v>
      </c>
      <c r="AL66">
        <v>0</v>
      </c>
      <c r="AM66">
        <v>0</v>
      </c>
      <c r="AN66">
        <v>10</v>
      </c>
      <c r="AO66">
        <v>573</v>
      </c>
      <c r="AP66">
        <v>0</v>
      </c>
      <c r="AQ66">
        <v>573</v>
      </c>
      <c r="AR66">
        <v>0</v>
      </c>
      <c r="AS66">
        <v>0</v>
      </c>
      <c r="AT66">
        <v>0</v>
      </c>
      <c r="AU66">
        <v>0</v>
      </c>
      <c r="AV66">
        <v>100</v>
      </c>
      <c r="AW66">
        <v>100</v>
      </c>
      <c r="AX66">
        <v>336565</v>
      </c>
      <c r="AY66">
        <v>309640</v>
      </c>
      <c r="AZ66">
        <v>475</v>
      </c>
      <c r="BA66">
        <v>365</v>
      </c>
      <c r="BB66">
        <v>110</v>
      </c>
      <c r="BC66">
        <v>0</v>
      </c>
      <c r="BD66" s="6">
        <v>44817</v>
      </c>
      <c r="BE66" t="s">
        <v>139</v>
      </c>
      <c r="BF66">
        <v>420000</v>
      </c>
      <c r="BG66">
        <v>420000</v>
      </c>
      <c r="BH66" t="s">
        <v>198</v>
      </c>
      <c r="BI66">
        <v>30</v>
      </c>
      <c r="BJ66" t="s">
        <v>51</v>
      </c>
      <c r="BK66" t="s">
        <v>314</v>
      </c>
      <c r="BL66">
        <v>374700</v>
      </c>
      <c r="BM66">
        <v>56200</v>
      </c>
      <c r="BN66">
        <v>318500</v>
      </c>
      <c r="BO66">
        <v>0</v>
      </c>
      <c r="BP66">
        <v>0.89214285714285713</v>
      </c>
      <c r="BQ66">
        <v>418962.43035858421</v>
      </c>
      <c r="BR66">
        <v>466225.64671092445</v>
      </c>
      <c r="BS66" s="7">
        <f>(BR66-BL66)/BL66</f>
        <v>0.24426380227094863</v>
      </c>
      <c r="BT66" s="14">
        <f>(Sales[[#This Row],[DP1]]*Lookups!$B$51)+(Sales[[#This Row],[DP2]]*Lookups!$B$52)+(Sales[[#This Row],[DP3]]*Lookups!$B$53)</f>
        <v>-47263.229940000005</v>
      </c>
      <c r="BU66" s="14">
        <f>Lookups!$B$48*0.5</f>
        <v>87214.824999999997</v>
      </c>
      <c r="BV66" s="14">
        <f>Lookups!$B$48*0.5</f>
        <v>87214.824999999997</v>
      </c>
      <c r="BW66" s="14">
        <f>Lookups!$B$49*Sales[[#This Row],[LnAcres]]</f>
        <v>-74976.725999739167</v>
      </c>
      <c r="BX66" s="14">
        <f>VLOOKUP(Sales[[#This Row],[Qlty]],Lookups!$A$54:$E$67,2,FALSE)</f>
        <v>19189.450408000001</v>
      </c>
      <c r="BY66" s="14">
        <f>VLOOKUP(Sales[[#This Row],[Cnd]],Lookups!$A$68:$E$76,2,FALSE)</f>
        <v>47273.897095</v>
      </c>
      <c r="BZ66" s="14">
        <f>Sales[[#This Row],[Age]]*Lookups!$B$77</f>
        <v>5350.8604699999996</v>
      </c>
      <c r="CA66" s="14">
        <f>Sales[[#This Row],[MainFn]]*Lookups!$B$78</f>
        <v>122277.72243000001</v>
      </c>
      <c r="CB66" s="14">
        <f>Sales[[#This Row],[UpprFn]]*Lookups!$B$79</f>
        <v>0</v>
      </c>
      <c r="CC66" s="14">
        <f>Sales[[#This Row],[AddFn]]*Lookups!$B$80</f>
        <v>0</v>
      </c>
      <c r="CD66" s="14">
        <f>Sales[[#This Row],[Bsmt]]*Lookups!$B$81</f>
        <v>0</v>
      </c>
      <c r="CE66" s="14">
        <f>Sales[[#This Row],[Fixtures]]*Lookups!$B$84</f>
        <v>101551</v>
      </c>
      <c r="CF66" s="14">
        <f>Sales[[#This Row],[MsnryFP]]*Lookups!$B$82</f>
        <v>0</v>
      </c>
      <c r="CG66" s="14">
        <f>Sales[[#This Row],[PrefabFP]]*Lookups!$B$83</f>
        <v>42091.021999999997</v>
      </c>
      <c r="CH66" s="14">
        <f>Sales[[#This Row],[GarageArea]]*Lookups!$B$85</f>
        <v>29038.778781000001</v>
      </c>
      <c r="CI66" s="14">
        <f>SUM(Sales[[#This Row],[Days Prior Total]:[Mdl GarageArea]])</f>
        <v>418962.42524426087</v>
      </c>
      <c r="CJ66" s="14">
        <f>ROUND(Sales[[#This Row],[25Det]],-2)</f>
        <v>0</v>
      </c>
      <c r="CK66" s="14">
        <f>ROUND(SUM(Sales[[#This Row],[Mdl Qlty]:[Mdl GarageArea]])+Sales[[#This Row],[Mdl Res Intercept]]+Sales[[#This Row],[Days Prior Total]],-2)</f>
        <v>406700</v>
      </c>
      <c r="CL66" s="14">
        <f>ROUND(Sales[[#This Row],[Mdl Land Intercept]]+Sales[[#This Row],[Mdl LnAcres]],-2)</f>
        <v>12200</v>
      </c>
      <c r="CM66" s="14">
        <f>Sales[[#This Row],[Unadj Res Value]]+Sales[[#This Row],[Unadj Det Value]]+Sales[[#This Row],[Unadj Land Value]]</f>
        <v>418900</v>
      </c>
      <c r="CN66" s="15">
        <f>Sales[[#This Row],[Unadj Total Value]]/Sales[[#This Row],[Price]]</f>
        <v>0.99738095238095237</v>
      </c>
      <c r="CO66" s="15">
        <f>(Sales[[#This Row],[Unadj Total Value]]-Sales[[#This Row],[24Final]])/Sales[[#This Row],[24Final]]</f>
        <v>0.11796103549506272</v>
      </c>
      <c r="CP66">
        <f>VLOOKUP(Sales[[#This Row],[TNbhd]],Lookups!$M$2:$P$4,4,FALSE)</f>
        <v>0.97570000000000001</v>
      </c>
      <c r="CQ66">
        <f>VLOOKUP(Sales[[#This Row],[Qlty]],Lookups!$M$6:$P$20,4,FALSE)</f>
        <v>0.9819</v>
      </c>
      <c r="CR66">
        <f>VLOOKUP(Sales[[#This Row],[Cnd]],Lookups!$R$6:$U$15,4,FALSE)</f>
        <v>0.97829999999999995</v>
      </c>
      <c r="CS66">
        <f>VLOOKUP(Sales[[#This Row],[LivArea Range]],Lookups!$R$23:$U$39,4,FALSE)</f>
        <v>0.99099999999999999</v>
      </c>
      <c r="CT66">
        <f>VLOOKUP(Sales[[#This Row],[Decade]],Lookups!$M$23:$P$35,4,FALSE)</f>
        <v>1.0059</v>
      </c>
      <c r="CU66">
        <f>Sales[[#This Row],[Nbhd Adj]]*0.95</f>
        <v>0.92691499999999993</v>
      </c>
      <c r="CV66">
        <f>Sales[[#This Row],[Nbhd Adj]]*Sales[[#This Row],[Quality Adj]]*Sales[[#This Row],[Condition Adj]]*Sales[[#This Row],[Living Area Adj]]*Sales[[#This Row],[Decade Adj]]*0.95</f>
        <v>0.88758036548289876</v>
      </c>
      <c r="CW66">
        <f>ROUND(SUM(Sales[[#This Row],[Mdl Qlty]:[Mdl GarageArea]])+Sales[[#This Row],[Mdl Res Intercept]]*Sales[[#This Row],[Res Adj ]],-2)</f>
        <v>444200</v>
      </c>
      <c r="CX66">
        <f>ROUND(Sales[[#This Row],[25Det]]*Sales[[#This Row],[Det/Nbhd Adj]],-2)</f>
        <v>0</v>
      </c>
      <c r="CY66">
        <f>Sales[[#This Row],[Adjusted Res]]+Sales[[#This Row],[Adj Det ]]</f>
        <v>444200</v>
      </c>
      <c r="CZ66">
        <f>ROUND((Sales[[#This Row],[Mdl Land Intercept]]+Sales[[#This Row],[Mdl LnAcres]])*Sales[[#This Row],[Det/Nbhd Adj]],-2)</f>
        <v>11300</v>
      </c>
      <c r="DA66">
        <f>Sales[[#This Row],[Adjusted Impr Total]]+Sales[[#This Row],[Adjusted Land Total]]</f>
        <v>455500</v>
      </c>
      <c r="DB66">
        <f>IFERROR((Sales[[#This Row],[Adjusted Impr Total]]-Sales[[#This Row],[24Bldg]])/Sales[[#This Row],[24Bldg]],0)</f>
        <v>0.3946624803767661</v>
      </c>
      <c r="DC66">
        <f>(Sales[[#This Row],[Adjusted Land Total]]-Sales[[#This Row],[24Lnd]])/Sales[[#This Row],[24Lnd]]</f>
        <v>-0.79893238434163705</v>
      </c>
      <c r="DD66">
        <f>(Sales[[#This Row],[Adjusted Total]]-Sales[[#This Row],[24Final]])/Sales[[#This Row],[24Final]]</f>
        <v>0.21563917800907392</v>
      </c>
      <c r="DE66">
        <f>(Sales[[#This Row],[Adjusted Total]]+Sales[[#This Row],[Days Prior Total]])/Sales[[#This Row],[Price]]</f>
        <v>0.97199230966666672</v>
      </c>
    </row>
    <row r="67" spans="1:109" x14ac:dyDescent="0.3">
      <c r="A67">
        <v>2025</v>
      </c>
      <c r="B67">
        <v>18131744448</v>
      </c>
      <c r="C67">
        <v>-2.6592600369327779</v>
      </c>
      <c r="D67">
        <v>7.0000000000000007E-2</v>
      </c>
      <c r="E67">
        <v>2343</v>
      </c>
      <c r="F67">
        <v>5</v>
      </c>
      <c r="G67" t="s">
        <v>25</v>
      </c>
      <c r="H67" t="s">
        <v>302</v>
      </c>
      <c r="I67" t="s">
        <v>302</v>
      </c>
      <c r="J67" t="s">
        <v>26</v>
      </c>
      <c r="K67">
        <v>11</v>
      </c>
      <c r="L67">
        <v>262</v>
      </c>
      <c r="M67" t="s">
        <v>49</v>
      </c>
      <c r="N67" t="s">
        <v>75</v>
      </c>
      <c r="O67" t="s">
        <v>207</v>
      </c>
      <c r="P67">
        <v>1995</v>
      </c>
      <c r="Q67">
        <v>1995</v>
      </c>
      <c r="R67">
        <v>30</v>
      </c>
      <c r="S67">
        <v>29</v>
      </c>
      <c r="T67">
        <v>29</v>
      </c>
      <c r="U67">
        <v>1</v>
      </c>
      <c r="V67">
        <v>1770</v>
      </c>
      <c r="W67">
        <v>0</v>
      </c>
      <c r="X67">
        <v>0</v>
      </c>
      <c r="Y67">
        <v>0</v>
      </c>
      <c r="Z67">
        <v>0</v>
      </c>
      <c r="AA67">
        <v>0</v>
      </c>
      <c r="AB67">
        <v>1770</v>
      </c>
      <c r="AC67">
        <v>2000</v>
      </c>
      <c r="AD67">
        <v>2</v>
      </c>
      <c r="AF67" t="s">
        <v>275</v>
      </c>
      <c r="AG67" t="s">
        <v>111</v>
      </c>
      <c r="AH67" t="s">
        <v>314</v>
      </c>
      <c r="AI67">
        <v>0</v>
      </c>
      <c r="AJ67">
        <v>1</v>
      </c>
      <c r="AK67">
        <v>0</v>
      </c>
      <c r="AL67">
        <v>0</v>
      </c>
      <c r="AM67">
        <v>0</v>
      </c>
      <c r="AN67">
        <v>10</v>
      </c>
      <c r="AO67">
        <v>573</v>
      </c>
      <c r="AP67">
        <v>0</v>
      </c>
      <c r="AQ67">
        <v>573</v>
      </c>
      <c r="AR67">
        <v>0</v>
      </c>
      <c r="AS67">
        <v>305</v>
      </c>
      <c r="AT67">
        <v>0</v>
      </c>
      <c r="AU67">
        <v>305</v>
      </c>
      <c r="AV67">
        <v>100</v>
      </c>
      <c r="AW67">
        <v>100</v>
      </c>
      <c r="AX67">
        <v>396902</v>
      </c>
      <c r="AY67">
        <v>365150</v>
      </c>
      <c r="AZ67">
        <v>160</v>
      </c>
      <c r="BA67">
        <v>160</v>
      </c>
      <c r="BB67">
        <v>0</v>
      </c>
      <c r="BC67">
        <v>0</v>
      </c>
      <c r="BD67" s="6">
        <v>45132</v>
      </c>
      <c r="BE67" t="s">
        <v>178</v>
      </c>
      <c r="BF67">
        <v>468000</v>
      </c>
      <c r="BG67">
        <v>468000</v>
      </c>
      <c r="BH67" t="s">
        <v>198</v>
      </c>
      <c r="BI67">
        <v>30</v>
      </c>
      <c r="BJ67" t="s">
        <v>51</v>
      </c>
      <c r="BK67" t="s">
        <v>314</v>
      </c>
      <c r="BL67">
        <v>368800</v>
      </c>
      <c r="BM67">
        <v>55300</v>
      </c>
      <c r="BN67">
        <v>313500</v>
      </c>
      <c r="BO67">
        <v>0</v>
      </c>
      <c r="BP67">
        <v>0.78803418803418801</v>
      </c>
      <c r="BQ67">
        <v>432523.50924843695</v>
      </c>
      <c r="BR67">
        <v>457829.42328400514</v>
      </c>
      <c r="BS67" s="7">
        <f>(BR67-BL67)/BL67</f>
        <v>0.24140299155099007</v>
      </c>
      <c r="BT67" s="14">
        <f>(Sales[[#This Row],[DP1]]*Lookups!$B$51)+(Sales[[#This Row],[DP2]]*Lookups!$B$52)+(Sales[[#This Row],[DP3]]*Lookups!$B$53)</f>
        <v>-25305.920000000002</v>
      </c>
      <c r="BU67" s="14">
        <f>Lookups!$B$48*0.5</f>
        <v>87214.824999999997</v>
      </c>
      <c r="BV67" s="14">
        <f>Lookups!$B$48*0.5</f>
        <v>87214.824999999997</v>
      </c>
      <c r="BW67" s="14">
        <f>Lookups!$B$49*Sales[[#This Row],[LnAcres]]</f>
        <v>-66555.550678307874</v>
      </c>
      <c r="BX67" s="14">
        <f>VLOOKUP(Sales[[#This Row],[Qlty]],Lookups!$A$54:$E$67,2,FALSE)</f>
        <v>19189.450408000001</v>
      </c>
      <c r="BY67" s="14">
        <f>VLOOKUP(Sales[[#This Row],[Cnd]],Lookups!$A$68:$E$76,2,FALSE)</f>
        <v>47273.897095</v>
      </c>
      <c r="BZ67" s="14">
        <f>Sales[[#This Row],[Age]]*Lookups!$B$77</f>
        <v>5350.8604699999996</v>
      </c>
      <c r="CA67" s="14">
        <f>Sales[[#This Row],[MainFn]]*Lookups!$B$78</f>
        <v>122277.72243000001</v>
      </c>
      <c r="CB67" s="14">
        <f>Sales[[#This Row],[UpprFn]]*Lookups!$B$79</f>
        <v>0</v>
      </c>
      <c r="CC67" s="14">
        <f>Sales[[#This Row],[AddFn]]*Lookups!$B$80</f>
        <v>0</v>
      </c>
      <c r="CD67" s="14">
        <f>Sales[[#This Row],[Bsmt]]*Lookups!$B$81</f>
        <v>0</v>
      </c>
      <c r="CE67" s="14">
        <f>Sales[[#This Row],[Fixtures]]*Lookups!$B$84</f>
        <v>101551</v>
      </c>
      <c r="CF67" s="14">
        <f>Sales[[#This Row],[MsnryFP]]*Lookups!$B$82</f>
        <v>25273.623</v>
      </c>
      <c r="CG67" s="14">
        <f>Sales[[#This Row],[PrefabFP]]*Lookups!$B$83</f>
        <v>0</v>
      </c>
      <c r="CH67" s="14">
        <f>Sales[[#This Row],[GarageArea]]*Lookups!$B$85</f>
        <v>29038.778781000001</v>
      </c>
      <c r="CI67" s="14">
        <f>SUM(Sales[[#This Row],[Days Prior Total]:[Mdl GarageArea]])</f>
        <v>432523.51150569215</v>
      </c>
      <c r="CJ67" s="14">
        <f>ROUND(Sales[[#This Row],[25Det]],-2)</f>
        <v>0</v>
      </c>
      <c r="CK67" s="14">
        <f>ROUND(SUM(Sales[[#This Row],[Mdl Qlty]:[Mdl GarageArea]])+Sales[[#This Row],[Mdl Res Intercept]]+Sales[[#This Row],[Days Prior Total]],-2)</f>
        <v>411900</v>
      </c>
      <c r="CL67" s="14">
        <f>ROUND(Sales[[#This Row],[Mdl Land Intercept]]+Sales[[#This Row],[Mdl LnAcres]],-2)</f>
        <v>20700</v>
      </c>
      <c r="CM67" s="14">
        <f>Sales[[#This Row],[Unadj Res Value]]+Sales[[#This Row],[Unadj Det Value]]+Sales[[#This Row],[Unadj Land Value]]</f>
        <v>432600</v>
      </c>
      <c r="CN67" s="15">
        <f>Sales[[#This Row],[Unadj Total Value]]/Sales[[#This Row],[Price]]</f>
        <v>0.92435897435897441</v>
      </c>
      <c r="CO67" s="15">
        <f>(Sales[[#This Row],[Unadj Total Value]]-Sales[[#This Row],[24Final]])/Sales[[#This Row],[24Final]]</f>
        <v>0.17299349240780912</v>
      </c>
      <c r="CP67">
        <f>VLOOKUP(Sales[[#This Row],[TNbhd]],Lookups!$M$2:$P$4,4,FALSE)</f>
        <v>0.97570000000000001</v>
      </c>
      <c r="CQ67">
        <f>VLOOKUP(Sales[[#This Row],[Qlty]],Lookups!$M$6:$P$20,4,FALSE)</f>
        <v>0.9819</v>
      </c>
      <c r="CR67">
        <f>VLOOKUP(Sales[[#This Row],[Cnd]],Lookups!$R$6:$U$15,4,FALSE)</f>
        <v>0.97829999999999995</v>
      </c>
      <c r="CS67">
        <f>VLOOKUP(Sales[[#This Row],[LivArea Range]],Lookups!$R$23:$U$39,4,FALSE)</f>
        <v>0.99099999999999999</v>
      </c>
      <c r="CT67">
        <f>VLOOKUP(Sales[[#This Row],[Decade]],Lookups!$M$23:$P$35,4,FALSE)</f>
        <v>1.0059</v>
      </c>
      <c r="CU67">
        <f>Sales[[#This Row],[Nbhd Adj]]*0.95</f>
        <v>0.92691499999999993</v>
      </c>
      <c r="CV67">
        <f>Sales[[#This Row],[Nbhd Adj]]*Sales[[#This Row],[Quality Adj]]*Sales[[#This Row],[Condition Adj]]*Sales[[#This Row],[Living Area Adj]]*Sales[[#This Row],[Decade Adj]]*0.95</f>
        <v>0.88758036548289876</v>
      </c>
      <c r="CW67">
        <f>ROUND(SUM(Sales[[#This Row],[Mdl Qlty]:[Mdl GarageArea]])+Sales[[#This Row],[Mdl Res Intercept]]*Sales[[#This Row],[Res Adj ]],-2)</f>
        <v>427400</v>
      </c>
      <c r="CX67">
        <f>ROUND(Sales[[#This Row],[25Det]]*Sales[[#This Row],[Det/Nbhd Adj]],-2)</f>
        <v>0</v>
      </c>
      <c r="CY67">
        <f>Sales[[#This Row],[Adjusted Res]]+Sales[[#This Row],[Adj Det ]]</f>
        <v>427400</v>
      </c>
      <c r="CZ67">
        <f>ROUND((Sales[[#This Row],[Mdl Land Intercept]]+Sales[[#This Row],[Mdl LnAcres]])*Sales[[#This Row],[Det/Nbhd Adj]],-2)</f>
        <v>19100</v>
      </c>
      <c r="DA67">
        <f>Sales[[#This Row],[Adjusted Impr Total]]+Sales[[#This Row],[Adjusted Land Total]]</f>
        <v>446500</v>
      </c>
      <c r="DB67">
        <f>IFERROR((Sales[[#This Row],[Adjusted Impr Total]]-Sales[[#This Row],[24Bldg]])/Sales[[#This Row],[24Bldg]],0)</f>
        <v>0.36331738437001593</v>
      </c>
      <c r="DC67">
        <f>(Sales[[#This Row],[Adjusted Land Total]]-Sales[[#This Row],[24Lnd]])/Sales[[#This Row],[24Lnd]]</f>
        <v>-0.65461121157323687</v>
      </c>
      <c r="DD67">
        <f>(Sales[[#This Row],[Adjusted Total]]-Sales[[#This Row],[24Final]])/Sales[[#This Row],[24Final]]</f>
        <v>0.21068329718004339</v>
      </c>
      <c r="DE67">
        <f>(Sales[[#This Row],[Adjusted Total]]+Sales[[#This Row],[Days Prior Total]])/Sales[[#This Row],[Price]]</f>
        <v>0.89998735042735045</v>
      </c>
    </row>
    <row r="68" spans="1:109" x14ac:dyDescent="0.3">
      <c r="A68">
        <v>2025</v>
      </c>
      <c r="B68">
        <v>18131744446</v>
      </c>
      <c r="C68">
        <v>-2.8134107167600364</v>
      </c>
      <c r="D68">
        <v>0.06</v>
      </c>
      <c r="E68">
        <v>2545</v>
      </c>
      <c r="F68">
        <v>5</v>
      </c>
      <c r="G68" t="s">
        <v>25</v>
      </c>
      <c r="H68" t="s">
        <v>203</v>
      </c>
      <c r="I68" t="s">
        <v>302</v>
      </c>
      <c r="J68" t="s">
        <v>26</v>
      </c>
      <c r="K68">
        <v>11</v>
      </c>
      <c r="L68">
        <v>262</v>
      </c>
      <c r="M68" t="s">
        <v>49</v>
      </c>
      <c r="N68" t="s">
        <v>75</v>
      </c>
      <c r="O68" t="s">
        <v>207</v>
      </c>
      <c r="P68">
        <v>1995</v>
      </c>
      <c r="Q68">
        <v>1995</v>
      </c>
      <c r="R68">
        <v>30</v>
      </c>
      <c r="S68">
        <v>29</v>
      </c>
      <c r="T68">
        <v>29</v>
      </c>
      <c r="U68">
        <v>1</v>
      </c>
      <c r="V68">
        <v>1999</v>
      </c>
      <c r="W68">
        <v>0</v>
      </c>
      <c r="X68">
        <v>0</v>
      </c>
      <c r="Y68">
        <v>0</v>
      </c>
      <c r="Z68">
        <v>0</v>
      </c>
      <c r="AA68">
        <v>0</v>
      </c>
      <c r="AB68">
        <v>1999</v>
      </c>
      <c r="AC68">
        <v>2000</v>
      </c>
      <c r="AD68">
        <v>2</v>
      </c>
      <c r="AF68" t="s">
        <v>275</v>
      </c>
      <c r="AG68" t="s">
        <v>111</v>
      </c>
      <c r="AH68" t="s">
        <v>314</v>
      </c>
      <c r="AI68">
        <v>0</v>
      </c>
      <c r="AJ68">
        <v>0</v>
      </c>
      <c r="AK68">
        <v>1</v>
      </c>
      <c r="AL68">
        <v>0</v>
      </c>
      <c r="AM68">
        <v>0</v>
      </c>
      <c r="AN68">
        <v>10</v>
      </c>
      <c r="AO68">
        <v>546</v>
      </c>
      <c r="AP68">
        <v>0</v>
      </c>
      <c r="AQ68">
        <v>546</v>
      </c>
      <c r="AR68">
        <v>0</v>
      </c>
      <c r="AS68">
        <v>0</v>
      </c>
      <c r="AT68">
        <v>350</v>
      </c>
      <c r="AU68">
        <v>0</v>
      </c>
      <c r="AV68">
        <v>100</v>
      </c>
      <c r="AW68">
        <v>100</v>
      </c>
      <c r="AX68">
        <v>349421</v>
      </c>
      <c r="AY68">
        <v>293514</v>
      </c>
      <c r="AZ68">
        <v>801</v>
      </c>
      <c r="BA68">
        <v>365</v>
      </c>
      <c r="BB68">
        <v>365</v>
      </c>
      <c r="BC68">
        <v>71</v>
      </c>
      <c r="BD68" s="6">
        <v>44491</v>
      </c>
      <c r="BE68" t="s">
        <v>63</v>
      </c>
      <c r="BF68">
        <v>390000</v>
      </c>
      <c r="BG68">
        <v>390000</v>
      </c>
      <c r="BH68" t="s">
        <v>198</v>
      </c>
      <c r="BI68">
        <v>30</v>
      </c>
      <c r="BJ68" t="s">
        <v>51</v>
      </c>
      <c r="BK68" t="s">
        <v>314</v>
      </c>
      <c r="BL68">
        <v>395200</v>
      </c>
      <c r="BM68">
        <v>59300</v>
      </c>
      <c r="BN68">
        <v>335900</v>
      </c>
      <c r="BO68">
        <v>0</v>
      </c>
      <c r="BP68">
        <v>1.0133333333333334</v>
      </c>
      <c r="BQ68">
        <v>440329.58869393228</v>
      </c>
      <c r="BR68">
        <v>485240.55528343224</v>
      </c>
      <c r="BS68" s="7">
        <f>(BR68-BL68)/BL68</f>
        <v>0.22783541316657957</v>
      </c>
      <c r="BT68" s="14">
        <f>(Sales[[#This Row],[DP1]]*Lookups!$B$51)+(Sales[[#This Row],[DP2]]*Lookups!$B$52)+(Sales[[#This Row],[DP3]]*Lookups!$B$53)</f>
        <v>-44910.976710000003</v>
      </c>
      <c r="BU68" s="14">
        <f>Lookups!$B$48*0.5</f>
        <v>87214.824999999997</v>
      </c>
      <c r="BV68" s="14">
        <f>Lookups!$B$48*0.5</f>
        <v>87214.824999999997</v>
      </c>
      <c r="BW68" s="14">
        <f>Lookups!$B$49*Sales[[#This Row],[LnAcres]]</f>
        <v>-70413.610153819813</v>
      </c>
      <c r="BX68" s="14">
        <f>VLOOKUP(Sales[[#This Row],[Qlty]],Lookups!$A$54:$E$67,2,FALSE)</f>
        <v>19189.450408000001</v>
      </c>
      <c r="BY68" s="14">
        <f>VLOOKUP(Sales[[#This Row],[Cnd]],Lookups!$A$68:$E$76,2,FALSE)</f>
        <v>47273.897095</v>
      </c>
      <c r="BZ68" s="14">
        <f>Sales[[#This Row],[Age]]*Lookups!$B$77</f>
        <v>5350.8604699999996</v>
      </c>
      <c r="CA68" s="14">
        <f>Sales[[#This Row],[MainFn]]*Lookups!$B$78</f>
        <v>138097.83454100002</v>
      </c>
      <c r="CB68" s="14">
        <f>Sales[[#This Row],[UpprFn]]*Lookups!$B$79</f>
        <v>0</v>
      </c>
      <c r="CC68" s="14">
        <f>Sales[[#This Row],[AddFn]]*Lookups!$B$80</f>
        <v>0</v>
      </c>
      <c r="CD68" s="14">
        <f>Sales[[#This Row],[Bsmt]]*Lookups!$B$81</f>
        <v>0</v>
      </c>
      <c r="CE68" s="14">
        <f>Sales[[#This Row],[Fixtures]]*Lookups!$B$84</f>
        <v>101551</v>
      </c>
      <c r="CF68" s="14">
        <f>Sales[[#This Row],[MsnryFP]]*Lookups!$B$82</f>
        <v>0</v>
      </c>
      <c r="CG68" s="14">
        <f>Sales[[#This Row],[PrefabFP]]*Lookups!$B$83</f>
        <v>42091.021999999997</v>
      </c>
      <c r="CH68" s="14">
        <f>Sales[[#This Row],[GarageArea]]*Lookups!$B$85</f>
        <v>27670.459362000001</v>
      </c>
      <c r="CI68" s="14">
        <f>SUM(Sales[[#This Row],[Days Prior Total]:[Mdl GarageArea]])</f>
        <v>440329.58701218019</v>
      </c>
      <c r="CJ68" s="14">
        <f>ROUND(Sales[[#This Row],[25Det]],-2)</f>
        <v>0</v>
      </c>
      <c r="CK68" s="14">
        <f>ROUND(SUM(Sales[[#This Row],[Mdl Qlty]:[Mdl GarageArea]])+Sales[[#This Row],[Mdl Res Intercept]]+Sales[[#This Row],[Days Prior Total]],-2)</f>
        <v>423500</v>
      </c>
      <c r="CL68" s="14">
        <f>ROUND(Sales[[#This Row],[Mdl Land Intercept]]+Sales[[#This Row],[Mdl LnAcres]],-2)</f>
        <v>16800</v>
      </c>
      <c r="CM68" s="14">
        <f>Sales[[#This Row],[Unadj Res Value]]+Sales[[#This Row],[Unadj Det Value]]+Sales[[#This Row],[Unadj Land Value]]</f>
        <v>440300</v>
      </c>
      <c r="CN68" s="15">
        <f>Sales[[#This Row],[Unadj Total Value]]/Sales[[#This Row],[Price]]</f>
        <v>1.128974358974359</v>
      </c>
      <c r="CO68" s="15">
        <f>(Sales[[#This Row],[Unadj Total Value]]-Sales[[#This Row],[24Final]])/Sales[[#This Row],[24Final]]</f>
        <v>0.11411943319838057</v>
      </c>
      <c r="CP68">
        <f>VLOOKUP(Sales[[#This Row],[TNbhd]],Lookups!$M$2:$P$4,4,FALSE)</f>
        <v>0.97570000000000001</v>
      </c>
      <c r="CQ68">
        <f>VLOOKUP(Sales[[#This Row],[Qlty]],Lookups!$M$6:$P$20,4,FALSE)</f>
        <v>0.9819</v>
      </c>
      <c r="CR68">
        <f>VLOOKUP(Sales[[#This Row],[Cnd]],Lookups!$R$6:$U$15,4,FALSE)</f>
        <v>0.97829999999999995</v>
      </c>
      <c r="CS68">
        <f>VLOOKUP(Sales[[#This Row],[LivArea Range]],Lookups!$R$23:$U$39,4,FALSE)</f>
        <v>0.99099999999999999</v>
      </c>
      <c r="CT68">
        <f>VLOOKUP(Sales[[#This Row],[Decade]],Lookups!$M$23:$P$35,4,FALSE)</f>
        <v>1.0059</v>
      </c>
      <c r="CU68">
        <f>Sales[[#This Row],[Nbhd Adj]]*0.95</f>
        <v>0.92691499999999993</v>
      </c>
      <c r="CV68">
        <f>Sales[[#This Row],[Nbhd Adj]]*Sales[[#This Row],[Quality Adj]]*Sales[[#This Row],[Condition Adj]]*Sales[[#This Row],[Living Area Adj]]*Sales[[#This Row],[Decade Adj]]*0.95</f>
        <v>0.88758036548289876</v>
      </c>
      <c r="CW68">
        <f>ROUND(SUM(Sales[[#This Row],[Mdl Qlty]:[Mdl GarageArea]])+Sales[[#This Row],[Mdl Res Intercept]]*Sales[[#This Row],[Res Adj ]],-2)</f>
        <v>458600</v>
      </c>
      <c r="CX68">
        <f>ROUND(Sales[[#This Row],[25Det]]*Sales[[#This Row],[Det/Nbhd Adj]],-2)</f>
        <v>0</v>
      </c>
      <c r="CY68">
        <f>Sales[[#This Row],[Adjusted Res]]+Sales[[#This Row],[Adj Det ]]</f>
        <v>458600</v>
      </c>
      <c r="CZ68">
        <f>ROUND((Sales[[#This Row],[Mdl Land Intercept]]+Sales[[#This Row],[Mdl LnAcres]])*Sales[[#This Row],[Det/Nbhd Adj]],-2)</f>
        <v>15600</v>
      </c>
      <c r="DA68">
        <f>Sales[[#This Row],[Adjusted Impr Total]]+Sales[[#This Row],[Adjusted Land Total]]</f>
        <v>474200</v>
      </c>
      <c r="DB68">
        <f>IFERROR((Sales[[#This Row],[Adjusted Impr Total]]-Sales[[#This Row],[24Bldg]])/Sales[[#This Row],[24Bldg]],0)</f>
        <v>0.36528728788329862</v>
      </c>
      <c r="DC68">
        <f>(Sales[[#This Row],[Adjusted Land Total]]-Sales[[#This Row],[24Lnd]])/Sales[[#This Row],[24Lnd]]</f>
        <v>-0.73693086003372676</v>
      </c>
      <c r="DD68">
        <f>(Sales[[#This Row],[Adjusted Total]]-Sales[[#This Row],[24Final]])/Sales[[#This Row],[24Final]]</f>
        <v>0.19989878542510123</v>
      </c>
      <c r="DE68">
        <f>(Sales[[#This Row],[Adjusted Total]]+Sales[[#This Row],[Days Prior Total]])/Sales[[#This Row],[Price]]</f>
        <v>1.1007410853589743</v>
      </c>
    </row>
    <row r="69" spans="1:109" x14ac:dyDescent="0.3">
      <c r="A69">
        <v>2025</v>
      </c>
      <c r="B69">
        <v>18131742437</v>
      </c>
      <c r="C69">
        <v>-0.26136476413440751</v>
      </c>
      <c r="D69">
        <v>0.77</v>
      </c>
      <c r="E69">
        <v>0</v>
      </c>
      <c r="F69">
        <v>1</v>
      </c>
      <c r="G69" t="s">
        <v>89</v>
      </c>
      <c r="H69" t="s">
        <v>203</v>
      </c>
      <c r="I69" t="s">
        <v>302</v>
      </c>
      <c r="J69" t="s">
        <v>110</v>
      </c>
      <c r="K69">
        <v>11</v>
      </c>
      <c r="L69">
        <v>259</v>
      </c>
      <c r="M69" t="s">
        <v>313</v>
      </c>
      <c r="N69" t="s">
        <v>189</v>
      </c>
      <c r="O69" t="s">
        <v>258</v>
      </c>
      <c r="P69">
        <v>1995</v>
      </c>
      <c r="Q69">
        <v>1995</v>
      </c>
      <c r="R69">
        <v>30</v>
      </c>
      <c r="S69">
        <v>29</v>
      </c>
      <c r="T69">
        <v>29</v>
      </c>
      <c r="U69">
        <v>2</v>
      </c>
      <c r="V69">
        <v>1616</v>
      </c>
      <c r="W69">
        <v>1638</v>
      </c>
      <c r="X69">
        <v>0</v>
      </c>
      <c r="Y69">
        <v>0</v>
      </c>
      <c r="Z69">
        <v>0</v>
      </c>
      <c r="AA69">
        <v>0</v>
      </c>
      <c r="AB69">
        <v>3254</v>
      </c>
      <c r="AC69">
        <v>3500</v>
      </c>
      <c r="AD69">
        <v>3</v>
      </c>
      <c r="AF69" t="s">
        <v>275</v>
      </c>
      <c r="AG69" t="s">
        <v>111</v>
      </c>
      <c r="AH69" t="s">
        <v>314</v>
      </c>
      <c r="AI69">
        <v>0</v>
      </c>
      <c r="AJ69">
        <v>2</v>
      </c>
      <c r="AK69">
        <v>0</v>
      </c>
      <c r="AL69">
        <v>0</v>
      </c>
      <c r="AM69">
        <v>1</v>
      </c>
      <c r="AN69">
        <v>13</v>
      </c>
      <c r="AO69">
        <v>0</v>
      </c>
      <c r="AP69">
        <v>1102</v>
      </c>
      <c r="AQ69">
        <v>1102</v>
      </c>
      <c r="AR69">
        <v>0</v>
      </c>
      <c r="AS69">
        <v>216</v>
      </c>
      <c r="AT69">
        <v>0</v>
      </c>
      <c r="AU69">
        <v>0</v>
      </c>
      <c r="AV69">
        <v>100</v>
      </c>
      <c r="AW69">
        <v>100</v>
      </c>
      <c r="AX69">
        <v>809641</v>
      </c>
      <c r="AY69">
        <v>761063</v>
      </c>
      <c r="AZ69">
        <v>833</v>
      </c>
      <c r="BA69">
        <v>365</v>
      </c>
      <c r="BB69">
        <v>365</v>
      </c>
      <c r="BC69">
        <v>103</v>
      </c>
      <c r="BD69" s="6">
        <v>44459</v>
      </c>
      <c r="BE69" t="s">
        <v>215</v>
      </c>
      <c r="BF69">
        <v>950000</v>
      </c>
      <c r="BG69">
        <v>868787</v>
      </c>
      <c r="BH69" t="s">
        <v>198</v>
      </c>
      <c r="BI69">
        <v>30</v>
      </c>
      <c r="BJ69" t="s">
        <v>51</v>
      </c>
      <c r="BK69" t="s">
        <v>314</v>
      </c>
      <c r="BL69">
        <v>873900</v>
      </c>
      <c r="BM69">
        <v>145700</v>
      </c>
      <c r="BN69">
        <v>728200</v>
      </c>
      <c r="BO69">
        <v>81213</v>
      </c>
      <c r="BP69">
        <v>0.91989473684210521</v>
      </c>
      <c r="BQ69">
        <v>817004.67374549911</v>
      </c>
      <c r="BR69">
        <v>871790.39387812419</v>
      </c>
      <c r="BS69" s="7">
        <f>(BR69-BL69)/BL69</f>
        <v>-2.4140131844327855E-3</v>
      </c>
      <c r="BT69" s="14">
        <f>(Sales[[#This Row],[DP1]]*Lookups!$B$51)+(Sales[[#This Row],[DP2]]*Lookups!$B$52)+(Sales[[#This Row],[DP3]]*Lookups!$B$53)</f>
        <v>-54785.728710000003</v>
      </c>
      <c r="BU69" s="14">
        <f>Lookups!$B$48*0.5</f>
        <v>87214.824999999997</v>
      </c>
      <c r="BV69" s="14">
        <f>Lookups!$B$48*0.5</f>
        <v>87214.824999999997</v>
      </c>
      <c r="BW69" s="14">
        <f>Lookups!$B$49*Sales[[#This Row],[LnAcres]]</f>
        <v>-6541.3970665822753</v>
      </c>
      <c r="BX69" s="14">
        <f>VLOOKUP(Sales[[#This Row],[Qlty]],Lookups!$A$54:$E$67,2,FALSE)</f>
        <v>141724.10243</v>
      </c>
      <c r="BY69" s="14">
        <f>VLOOKUP(Sales[[#This Row],[Cnd]],Lookups!$A$68:$E$76,2,FALSE)</f>
        <v>106557.38887</v>
      </c>
      <c r="BZ69" s="14">
        <f>Sales[[#This Row],[Age]]*Lookups!$B$77</f>
        <v>5350.8604699999996</v>
      </c>
      <c r="CA69" s="14">
        <f>Sales[[#This Row],[MainFn]]*Lookups!$B$78</f>
        <v>111638.86974400001</v>
      </c>
      <c r="CB69" s="14">
        <f>Sales[[#This Row],[UpprFn]]*Lookups!$B$79</f>
        <v>100219.67865</v>
      </c>
      <c r="CC69" s="14">
        <f>Sales[[#This Row],[AddFn]]*Lookups!$B$80</f>
        <v>0</v>
      </c>
      <c r="CD69" s="14">
        <f>Sales[[#This Row],[Bsmt]]*Lookups!$B$81</f>
        <v>0</v>
      </c>
      <c r="CE69" s="14">
        <f>Sales[[#This Row],[Fixtures]]*Lookups!$B$84</f>
        <v>132016.30000000002</v>
      </c>
      <c r="CF69" s="14">
        <f>Sales[[#This Row],[MsnryFP]]*Lookups!$B$82</f>
        <v>50547.245999999999</v>
      </c>
      <c r="CG69" s="14">
        <f>Sales[[#This Row],[PrefabFP]]*Lookups!$B$83</f>
        <v>0</v>
      </c>
      <c r="CH69" s="14">
        <f>Sales[[#This Row],[GarageArea]]*Lookups!$B$85</f>
        <v>55847.703694000003</v>
      </c>
      <c r="CI69" s="14">
        <f>SUM(Sales[[#This Row],[Days Prior Total]:[Mdl GarageArea]])</f>
        <v>817004.67408141785</v>
      </c>
      <c r="CJ69" s="14">
        <f>ROUND(Sales[[#This Row],[25Det]],-2)</f>
        <v>81200</v>
      </c>
      <c r="CK69" s="14">
        <f>ROUND(SUM(Sales[[#This Row],[Mdl Qlty]:[Mdl GarageArea]])+Sales[[#This Row],[Mdl Res Intercept]]+Sales[[#This Row],[Days Prior Total]],-2)</f>
        <v>736300</v>
      </c>
      <c r="CL69" s="14">
        <f>ROUND(Sales[[#This Row],[Mdl Land Intercept]]+Sales[[#This Row],[Mdl LnAcres]],-2)</f>
        <v>80700</v>
      </c>
      <c r="CM69" s="14">
        <f>Sales[[#This Row],[Unadj Res Value]]+Sales[[#This Row],[Unadj Det Value]]+Sales[[#This Row],[Unadj Land Value]]</f>
        <v>898200</v>
      </c>
      <c r="CN69" s="15">
        <f>Sales[[#This Row],[Unadj Total Value]]/Sales[[#This Row],[Price]]</f>
        <v>0.94547368421052636</v>
      </c>
      <c r="CO69" s="15">
        <f>(Sales[[#This Row],[Unadj Total Value]]-Sales[[#This Row],[24Final]])/Sales[[#This Row],[24Final]]</f>
        <v>2.7806385169927908E-2</v>
      </c>
      <c r="CP69">
        <f>VLOOKUP(Sales[[#This Row],[TNbhd]],Lookups!$M$2:$P$4,4,FALSE)</f>
        <v>0.97570000000000001</v>
      </c>
      <c r="CQ69">
        <f>VLOOKUP(Sales[[#This Row],[Qlty]],Lookups!$M$6:$P$20,4,FALSE)</f>
        <v>1.0051000000000001</v>
      </c>
      <c r="CR69">
        <f>VLOOKUP(Sales[[#This Row],[Cnd]],Lookups!$R$6:$U$15,4,FALSE)</f>
        <v>0.9748</v>
      </c>
      <c r="CS69">
        <f>VLOOKUP(Sales[[#This Row],[LivArea Range]],Lookups!$R$23:$U$39,4,FALSE)</f>
        <v>0.99619999999999997</v>
      </c>
      <c r="CT69">
        <f>VLOOKUP(Sales[[#This Row],[Decade]],Lookups!$M$23:$P$35,4,FALSE)</f>
        <v>1.0059</v>
      </c>
      <c r="CU69">
        <f>Sales[[#This Row],[Nbhd Adj]]*0.95</f>
        <v>0.92691499999999993</v>
      </c>
      <c r="CV69">
        <f>Sales[[#This Row],[Nbhd Adj]]*Sales[[#This Row],[Quality Adj]]*Sales[[#This Row],[Condition Adj]]*Sales[[#This Row],[Living Area Adj]]*Sales[[#This Row],[Decade Adj]]*0.95</f>
        <v>0.91005166657846626</v>
      </c>
      <c r="CW69">
        <f>ROUND(SUM(Sales[[#This Row],[Mdl Qlty]:[Mdl GarageArea]])+Sales[[#This Row],[Mdl Res Intercept]]*Sales[[#This Row],[Res Adj ]],-2)</f>
        <v>783300</v>
      </c>
      <c r="CX69">
        <f>ROUND(Sales[[#This Row],[25Det]]*Sales[[#This Row],[Det/Nbhd Adj]],-2)</f>
        <v>75300</v>
      </c>
      <c r="CY69">
        <f>Sales[[#This Row],[Adjusted Res]]+Sales[[#This Row],[Adj Det ]]</f>
        <v>858600</v>
      </c>
      <c r="CZ69">
        <f>ROUND((Sales[[#This Row],[Mdl Land Intercept]]+Sales[[#This Row],[Mdl LnAcres]])*Sales[[#This Row],[Det/Nbhd Adj]],-2)</f>
        <v>74800</v>
      </c>
      <c r="DA69">
        <f>Sales[[#This Row],[Adjusted Impr Total]]+Sales[[#This Row],[Adjusted Land Total]]</f>
        <v>933400</v>
      </c>
      <c r="DB69">
        <f>IFERROR((Sales[[#This Row],[Adjusted Impr Total]]-Sales[[#This Row],[24Bldg]])/Sales[[#This Row],[24Bldg]],0)</f>
        <v>0.17907168360340567</v>
      </c>
      <c r="DC69">
        <f>(Sales[[#This Row],[Adjusted Land Total]]-Sales[[#This Row],[24Lnd]])/Sales[[#This Row],[24Lnd]]</f>
        <v>-0.48661633493479756</v>
      </c>
      <c r="DD69">
        <f>(Sales[[#This Row],[Adjusted Total]]-Sales[[#This Row],[24Final]])/Sales[[#This Row],[24Final]]</f>
        <v>6.8085593317313189E-2</v>
      </c>
      <c r="DE69">
        <f>(Sales[[#This Row],[Adjusted Total]]+Sales[[#This Row],[Days Prior Total]])/Sales[[#This Row],[Price]]</f>
        <v>0.92485712767368411</v>
      </c>
    </row>
    <row r="70" spans="1:109" x14ac:dyDescent="0.3">
      <c r="A70">
        <v>2025</v>
      </c>
      <c r="B70">
        <v>18131723407</v>
      </c>
      <c r="C70">
        <v>-4.0821994520255166E-2</v>
      </c>
      <c r="D70">
        <v>0.96</v>
      </c>
      <c r="E70">
        <v>0</v>
      </c>
      <c r="F70">
        <v>1</v>
      </c>
      <c r="G70" t="s">
        <v>89</v>
      </c>
      <c r="H70">
        <v>3041</v>
      </c>
      <c r="I70" t="s">
        <v>302</v>
      </c>
      <c r="J70" t="s">
        <v>26</v>
      </c>
      <c r="K70">
        <v>11</v>
      </c>
      <c r="L70">
        <v>259</v>
      </c>
      <c r="M70" t="s">
        <v>204</v>
      </c>
      <c r="N70" t="s">
        <v>75</v>
      </c>
      <c r="O70" t="s">
        <v>258</v>
      </c>
      <c r="P70">
        <v>1994</v>
      </c>
      <c r="Q70">
        <v>1994</v>
      </c>
      <c r="R70">
        <v>30</v>
      </c>
      <c r="S70">
        <v>30</v>
      </c>
      <c r="T70">
        <v>30</v>
      </c>
      <c r="U70">
        <v>2</v>
      </c>
      <c r="V70">
        <v>2580</v>
      </c>
      <c r="W70">
        <v>1388</v>
      </c>
      <c r="X70">
        <v>0</v>
      </c>
      <c r="Y70">
        <v>0</v>
      </c>
      <c r="Z70">
        <v>0</v>
      </c>
      <c r="AA70">
        <v>0</v>
      </c>
      <c r="AB70">
        <v>3968</v>
      </c>
      <c r="AC70">
        <v>4000</v>
      </c>
      <c r="AD70">
        <v>3</v>
      </c>
      <c r="AE70" t="s">
        <v>5</v>
      </c>
      <c r="AF70" t="s">
        <v>275</v>
      </c>
      <c r="AG70" t="s">
        <v>111</v>
      </c>
      <c r="AH70" t="s">
        <v>314</v>
      </c>
      <c r="AI70">
        <v>0</v>
      </c>
      <c r="AJ70">
        <v>1</v>
      </c>
      <c r="AK70">
        <v>0</v>
      </c>
      <c r="AL70">
        <v>1</v>
      </c>
      <c r="AM70">
        <v>2</v>
      </c>
      <c r="AN70">
        <v>18</v>
      </c>
      <c r="AO70">
        <v>1112</v>
      </c>
      <c r="AP70">
        <v>0</v>
      </c>
      <c r="AQ70">
        <v>1112</v>
      </c>
      <c r="AR70">
        <v>0</v>
      </c>
      <c r="AS70">
        <v>85</v>
      </c>
      <c r="AT70">
        <v>672</v>
      </c>
      <c r="AU70">
        <v>0</v>
      </c>
      <c r="AV70">
        <v>100</v>
      </c>
      <c r="AW70">
        <v>100</v>
      </c>
      <c r="AX70">
        <v>742595</v>
      </c>
      <c r="AY70">
        <v>690613</v>
      </c>
      <c r="AZ70">
        <v>612</v>
      </c>
      <c r="BA70">
        <v>365</v>
      </c>
      <c r="BB70">
        <v>247</v>
      </c>
      <c r="BC70">
        <v>0</v>
      </c>
      <c r="BD70" s="6">
        <v>44680</v>
      </c>
      <c r="BE70" t="s">
        <v>323</v>
      </c>
      <c r="BF70">
        <v>1110000</v>
      </c>
      <c r="BG70">
        <v>918693</v>
      </c>
      <c r="BH70" t="s">
        <v>198</v>
      </c>
      <c r="BI70">
        <v>30</v>
      </c>
      <c r="BJ70" t="s">
        <v>51</v>
      </c>
      <c r="BK70" t="s">
        <v>314</v>
      </c>
      <c r="BL70">
        <v>975700</v>
      </c>
      <c r="BM70">
        <v>158200</v>
      </c>
      <c r="BN70">
        <v>817500</v>
      </c>
      <c r="BO70">
        <v>191307</v>
      </c>
      <c r="BP70">
        <v>0.87900900900900902</v>
      </c>
      <c r="BQ70">
        <v>798040.621375527</v>
      </c>
      <c r="BR70">
        <v>832269.03494915739</v>
      </c>
      <c r="BS70" s="7">
        <f>(BR70-BL70)/BL70</f>
        <v>-0.14700314138653542</v>
      </c>
      <c r="BT70" s="14">
        <f>(Sales[[#This Row],[DP1]]*Lookups!$B$51)+(Sales[[#This Row],[DP2]]*Lookups!$B$52)+(Sales[[#This Row],[DP3]]*Lookups!$B$53)</f>
        <v>-34228.427137999999</v>
      </c>
      <c r="BU70" s="14">
        <f>Lookups!$B$48*0.5</f>
        <v>87214.824999999997</v>
      </c>
      <c r="BV70" s="14">
        <f>Lookups!$B$48*0.5</f>
        <v>87214.824999999997</v>
      </c>
      <c r="BW70" s="14">
        <f>Lookups!$B$49*Sales[[#This Row],[LnAcres]]</f>
        <v>-1021.6865922657902</v>
      </c>
      <c r="BX70" s="14">
        <f>VLOOKUP(Sales[[#This Row],[Qlty]],Lookups!$A$54:$E$67,2,FALSE)</f>
        <v>19189.450408000001</v>
      </c>
      <c r="BY70" s="14">
        <f>VLOOKUP(Sales[[#This Row],[Cnd]],Lookups!$A$68:$E$76,2,FALSE)</f>
        <v>106557.38887</v>
      </c>
      <c r="BZ70" s="14">
        <f>Sales[[#This Row],[Age]]*Lookups!$B$77</f>
        <v>5535.3729000000003</v>
      </c>
      <c r="CA70" s="14">
        <f>Sales[[#This Row],[MainFn]]*Lookups!$B$78</f>
        <v>178235.32422000001</v>
      </c>
      <c r="CB70" s="14">
        <f>Sales[[#This Row],[UpprFn]]*Lookups!$B$79</f>
        <v>84923.634900000005</v>
      </c>
      <c r="CC70" s="14">
        <f>Sales[[#This Row],[AddFn]]*Lookups!$B$80</f>
        <v>0</v>
      </c>
      <c r="CD70" s="14">
        <f>Sales[[#This Row],[Bsmt]]*Lookups!$B$81</f>
        <v>0</v>
      </c>
      <c r="CE70" s="14">
        <f>Sales[[#This Row],[Fixtures]]*Lookups!$B$84</f>
        <v>182791.80000000002</v>
      </c>
      <c r="CF70" s="14">
        <f>Sales[[#This Row],[MsnryFP]]*Lookups!$B$82</f>
        <v>25273.623</v>
      </c>
      <c r="CG70" s="14">
        <f>Sales[[#This Row],[PrefabFP]]*Lookups!$B$83</f>
        <v>0</v>
      </c>
      <c r="CH70" s="14">
        <f>Sales[[#This Row],[GarageArea]]*Lookups!$B$85</f>
        <v>56354.488663999997</v>
      </c>
      <c r="CI70" s="14">
        <f>SUM(Sales[[#This Row],[Days Prior Total]:[Mdl GarageArea]])</f>
        <v>798040.61923173419</v>
      </c>
      <c r="CJ70" s="14">
        <f>ROUND(Sales[[#This Row],[25Det]],-2)</f>
        <v>191300</v>
      </c>
      <c r="CK70" s="14">
        <f>ROUND(SUM(Sales[[#This Row],[Mdl Qlty]:[Mdl GarageArea]])+Sales[[#This Row],[Mdl Res Intercept]]+Sales[[#This Row],[Days Prior Total]],-2)</f>
        <v>711800</v>
      </c>
      <c r="CL70" s="14">
        <f>ROUND(Sales[[#This Row],[Mdl Land Intercept]]+Sales[[#This Row],[Mdl LnAcres]],-2)</f>
        <v>86200</v>
      </c>
      <c r="CM70" s="14">
        <f>Sales[[#This Row],[Unadj Res Value]]+Sales[[#This Row],[Unadj Det Value]]+Sales[[#This Row],[Unadj Land Value]]</f>
        <v>989300</v>
      </c>
      <c r="CN70" s="15">
        <f>Sales[[#This Row],[Unadj Total Value]]/Sales[[#This Row],[Price]]</f>
        <v>0.89126126126126126</v>
      </c>
      <c r="CO70" s="15">
        <f>(Sales[[#This Row],[Unadj Total Value]]-Sales[[#This Row],[24Final]])/Sales[[#This Row],[24Final]]</f>
        <v>1.3938710669263093E-2</v>
      </c>
      <c r="CP70">
        <f>VLOOKUP(Sales[[#This Row],[TNbhd]],Lookups!$M$2:$P$4,4,FALSE)</f>
        <v>0.97570000000000001</v>
      </c>
      <c r="CQ70">
        <f>VLOOKUP(Sales[[#This Row],[Qlty]],Lookups!$M$6:$P$20,4,FALSE)</f>
        <v>0.9819</v>
      </c>
      <c r="CR70">
        <f>VLOOKUP(Sales[[#This Row],[Cnd]],Lookups!$R$6:$U$15,4,FALSE)</f>
        <v>0.9748</v>
      </c>
      <c r="CS70">
        <f>VLOOKUP(Sales[[#This Row],[LivArea Range]],Lookups!$R$23:$U$39,4,FALSE)</f>
        <v>1.034</v>
      </c>
      <c r="CT70">
        <f>VLOOKUP(Sales[[#This Row],[Decade]],Lookups!$M$23:$P$35,4,FALSE)</f>
        <v>1.0059</v>
      </c>
      <c r="CU70">
        <f>Sales[[#This Row],[Nbhd Adj]]*0.95</f>
        <v>0.92691499999999993</v>
      </c>
      <c r="CV70">
        <f>Sales[[#This Row],[Nbhd Adj]]*Sales[[#This Row],[Quality Adj]]*Sales[[#This Row],[Condition Adj]]*Sales[[#This Row],[Living Area Adj]]*Sales[[#This Row],[Decade Adj]]*0.95</f>
        <v>0.92277971212650811</v>
      </c>
      <c r="CW70">
        <f>ROUND(SUM(Sales[[#This Row],[Mdl Qlty]:[Mdl GarageArea]])+Sales[[#This Row],[Mdl Res Intercept]]*Sales[[#This Row],[Res Adj ]],-2)</f>
        <v>739300</v>
      </c>
      <c r="CX70">
        <f>ROUND(Sales[[#This Row],[25Det]]*Sales[[#This Row],[Det/Nbhd Adj]],-2)</f>
        <v>177300</v>
      </c>
      <c r="CY70">
        <f>Sales[[#This Row],[Adjusted Res]]+Sales[[#This Row],[Adj Det ]]</f>
        <v>916600</v>
      </c>
      <c r="CZ70">
        <f>ROUND((Sales[[#This Row],[Mdl Land Intercept]]+Sales[[#This Row],[Mdl LnAcres]])*Sales[[#This Row],[Det/Nbhd Adj]],-2)</f>
        <v>79900</v>
      </c>
      <c r="DA70">
        <f>Sales[[#This Row],[Adjusted Impr Total]]+Sales[[#This Row],[Adjusted Land Total]]</f>
        <v>996500</v>
      </c>
      <c r="DB70">
        <f>IFERROR((Sales[[#This Row],[Adjusted Impr Total]]-Sales[[#This Row],[24Bldg]])/Sales[[#This Row],[24Bldg]],0)</f>
        <v>0.12122324159021407</v>
      </c>
      <c r="DC70">
        <f>(Sales[[#This Row],[Adjusted Land Total]]-Sales[[#This Row],[24Lnd]])/Sales[[#This Row],[24Lnd]]</f>
        <v>-0.4949431099873578</v>
      </c>
      <c r="DD70">
        <f>(Sales[[#This Row],[Adjusted Total]]-Sales[[#This Row],[24Final]])/Sales[[#This Row],[24Final]]</f>
        <v>2.1318028082402379E-2</v>
      </c>
      <c r="DE70">
        <f>(Sales[[#This Row],[Adjusted Total]]+Sales[[#This Row],[Days Prior Total]])/Sales[[#This Row],[Price]]</f>
        <v>0.86691132690270267</v>
      </c>
    </row>
    <row r="71" spans="1:109" x14ac:dyDescent="0.3">
      <c r="A71">
        <v>2025</v>
      </c>
      <c r="B71">
        <v>18131643470</v>
      </c>
      <c r="C71">
        <v>-0.15082288973458366</v>
      </c>
      <c r="D71">
        <v>0.86</v>
      </c>
      <c r="E71">
        <v>37675</v>
      </c>
      <c r="F71">
        <v>5</v>
      </c>
      <c r="G71" t="s">
        <v>89</v>
      </c>
      <c r="H71" t="s">
        <v>203</v>
      </c>
      <c r="I71" t="s">
        <v>302</v>
      </c>
      <c r="J71" t="s">
        <v>26</v>
      </c>
      <c r="K71">
        <v>11</v>
      </c>
      <c r="L71">
        <v>331</v>
      </c>
      <c r="M71" t="s">
        <v>313</v>
      </c>
      <c r="N71" t="s">
        <v>230</v>
      </c>
      <c r="O71" t="s">
        <v>76</v>
      </c>
      <c r="P71">
        <v>1994</v>
      </c>
      <c r="Q71">
        <v>1994</v>
      </c>
      <c r="R71">
        <v>30</v>
      </c>
      <c r="S71">
        <v>30</v>
      </c>
      <c r="T71">
        <v>30</v>
      </c>
      <c r="U71">
        <v>1</v>
      </c>
      <c r="V71">
        <v>4696</v>
      </c>
      <c r="W71">
        <v>0</v>
      </c>
      <c r="X71">
        <v>0</v>
      </c>
      <c r="Y71">
        <v>2792</v>
      </c>
      <c r="Z71">
        <v>2792</v>
      </c>
      <c r="AA71">
        <v>0</v>
      </c>
      <c r="AB71">
        <v>7488</v>
      </c>
      <c r="AC71">
        <v>7500</v>
      </c>
      <c r="AD71">
        <v>3</v>
      </c>
      <c r="AF71" t="s">
        <v>275</v>
      </c>
      <c r="AG71" t="s">
        <v>111</v>
      </c>
      <c r="AH71" t="s">
        <v>314</v>
      </c>
      <c r="AI71">
        <v>0</v>
      </c>
      <c r="AJ71">
        <v>1</v>
      </c>
      <c r="AK71">
        <v>3</v>
      </c>
      <c r="AL71">
        <v>1</v>
      </c>
      <c r="AM71">
        <v>1</v>
      </c>
      <c r="AN71">
        <v>24</v>
      </c>
      <c r="AO71">
        <v>1221</v>
      </c>
      <c r="AP71">
        <v>0</v>
      </c>
      <c r="AQ71">
        <v>1221</v>
      </c>
      <c r="AR71">
        <v>0</v>
      </c>
      <c r="AS71">
        <v>793</v>
      </c>
      <c r="AT71">
        <v>0</v>
      </c>
      <c r="AU71">
        <v>0</v>
      </c>
      <c r="AV71">
        <v>100</v>
      </c>
      <c r="AW71">
        <v>100</v>
      </c>
      <c r="AX71">
        <v>2353093</v>
      </c>
      <c r="AY71">
        <v>2211907</v>
      </c>
      <c r="AZ71">
        <v>577</v>
      </c>
      <c r="BA71">
        <v>365</v>
      </c>
      <c r="BB71">
        <v>212</v>
      </c>
      <c r="BC71">
        <v>0</v>
      </c>
      <c r="BD71" s="6">
        <v>44715</v>
      </c>
      <c r="BE71" t="s">
        <v>101</v>
      </c>
      <c r="BF71">
        <v>1700000</v>
      </c>
      <c r="BG71">
        <v>1571974</v>
      </c>
      <c r="BH71" t="s">
        <v>198</v>
      </c>
      <c r="BI71">
        <v>30</v>
      </c>
      <c r="BJ71" t="s">
        <v>51</v>
      </c>
      <c r="BK71" t="s">
        <v>314</v>
      </c>
      <c r="BL71">
        <v>1807500</v>
      </c>
      <c r="BM71">
        <v>150000</v>
      </c>
      <c r="BN71">
        <v>1657500</v>
      </c>
      <c r="BO71">
        <v>128026</v>
      </c>
      <c r="BP71">
        <v>1.0632352941176471</v>
      </c>
      <c r="BQ71">
        <v>1652893.98576929</v>
      </c>
      <c r="BR71">
        <v>1690452.4584469704</v>
      </c>
      <c r="BS71" s="7">
        <f>(BR71-BL71)/BL71</f>
        <v>-6.4756592837084126E-2</v>
      </c>
      <c r="BT71" s="14">
        <f>(Sales[[#This Row],[DP1]]*Lookups!$B$51)+(Sales[[#This Row],[DP2]]*Lookups!$B$52)+(Sales[[#This Row],[DP3]]*Lookups!$B$53)</f>
        <v>-37558.486248000001</v>
      </c>
      <c r="BU71" s="14">
        <f>Lookups!$B$48*0.5</f>
        <v>87214.824999999997</v>
      </c>
      <c r="BV71" s="14">
        <f>Lookups!$B$48*0.5</f>
        <v>87214.824999999997</v>
      </c>
      <c r="BW71" s="14">
        <f>Lookups!$B$49*Sales[[#This Row],[LnAcres]]</f>
        <v>-3774.7720575521407</v>
      </c>
      <c r="BX71" s="14">
        <f>VLOOKUP(Sales[[#This Row],[Qlty]],Lookups!$A$54:$E$67,2,FALSE)</f>
        <v>519241.74659</v>
      </c>
      <c r="BY71" s="14">
        <f>VLOOKUP(Sales[[#This Row],[Cnd]],Lookups!$A$68:$E$76,2,FALSE)</f>
        <v>133581.64413</v>
      </c>
      <c r="BZ71" s="14">
        <f>Sales[[#This Row],[Age]]*Lookups!$B$77</f>
        <v>5535.3729000000003</v>
      </c>
      <c r="CA71" s="14">
        <f>Sales[[#This Row],[MainFn]]*Lookups!$B$78</f>
        <v>324415.92346400005</v>
      </c>
      <c r="CB71" s="14">
        <f>Sales[[#This Row],[UpprFn]]*Lookups!$B$79</f>
        <v>0</v>
      </c>
      <c r="CC71" s="14">
        <f>Sales[[#This Row],[AddFn]]*Lookups!$B$80</f>
        <v>0</v>
      </c>
      <c r="CD71" s="14">
        <f>Sales[[#This Row],[Bsmt]]*Lookups!$B$81</f>
        <v>79875.373135999995</v>
      </c>
      <c r="CE71" s="14">
        <f>Sales[[#This Row],[Fixtures]]*Lookups!$B$84</f>
        <v>243722.40000000002</v>
      </c>
      <c r="CF71" s="14">
        <f>Sales[[#This Row],[MsnryFP]]*Lookups!$B$82</f>
        <v>25273.623</v>
      </c>
      <c r="CG71" s="14">
        <f>Sales[[#This Row],[PrefabFP]]*Lookups!$B$83</f>
        <v>126273.06599999999</v>
      </c>
      <c r="CH71" s="14">
        <f>Sales[[#This Row],[GarageArea]]*Lookups!$B$85</f>
        <v>61878.444837000003</v>
      </c>
      <c r="CI71" s="14">
        <f>SUM(Sales[[#This Row],[Days Prior Total]:[Mdl GarageArea]])</f>
        <v>1652893.9857514475</v>
      </c>
      <c r="CJ71" s="14">
        <f>ROUND(Sales[[#This Row],[25Det]],-2)</f>
        <v>128000</v>
      </c>
      <c r="CK71" s="14">
        <f>ROUND(SUM(Sales[[#This Row],[Mdl Qlty]:[Mdl GarageArea]])+Sales[[#This Row],[Mdl Res Intercept]]+Sales[[#This Row],[Days Prior Total]],-2)</f>
        <v>1569500</v>
      </c>
      <c r="CL71" s="14">
        <f>ROUND(Sales[[#This Row],[Mdl Land Intercept]]+Sales[[#This Row],[Mdl LnAcres]],-2)</f>
        <v>83400</v>
      </c>
      <c r="CM71" s="14">
        <f>Sales[[#This Row],[Unadj Res Value]]+Sales[[#This Row],[Unadj Det Value]]+Sales[[#This Row],[Unadj Land Value]]</f>
        <v>1780900</v>
      </c>
      <c r="CN71" s="15">
        <f>Sales[[#This Row],[Unadj Total Value]]/Sales[[#This Row],[Price]]</f>
        <v>1.0475882352941177</v>
      </c>
      <c r="CO71" s="15">
        <f>(Sales[[#This Row],[Unadj Total Value]]-Sales[[#This Row],[24Final]])/Sales[[#This Row],[24Final]]</f>
        <v>-1.4716459197786998E-2</v>
      </c>
      <c r="CP71">
        <f>VLOOKUP(Sales[[#This Row],[TNbhd]],Lookups!$M$2:$P$4,4,FALSE)</f>
        <v>0.97570000000000001</v>
      </c>
      <c r="CQ71">
        <f>VLOOKUP(Sales[[#This Row],[Qlty]],Lookups!$M$6:$P$20,4,FALSE)</f>
        <v>0.99960000000000004</v>
      </c>
      <c r="CR71">
        <f>VLOOKUP(Sales[[#This Row],[Cnd]],Lookups!$R$6:$U$15,4,FALSE)</f>
        <v>0.98370000000000002</v>
      </c>
      <c r="CS71">
        <f>VLOOKUP(Sales[[#This Row],[LivArea Range]],Lookups!$R$23:$U$39,4,FALSE)</f>
        <v>0.9546</v>
      </c>
      <c r="CT71">
        <f>VLOOKUP(Sales[[#This Row],[Decade]],Lookups!$M$23:$P$35,4,FALSE)</f>
        <v>1.0059</v>
      </c>
      <c r="CU71">
        <f>Sales[[#This Row],[Nbhd Adj]]*0.95</f>
        <v>0.92691499999999993</v>
      </c>
      <c r="CV71">
        <f>Sales[[#This Row],[Nbhd Adj]]*Sales[[#This Row],[Quality Adj]]*Sales[[#This Row],[Condition Adj]]*Sales[[#This Row],[Living Area Adj]]*Sales[[#This Row],[Decade Adj]]*0.95</f>
        <v>0.87519548251079948</v>
      </c>
      <c r="CW71">
        <f>ROUND(SUM(Sales[[#This Row],[Mdl Qlty]:[Mdl GarageArea]])+Sales[[#This Row],[Mdl Res Intercept]]*Sales[[#This Row],[Res Adj ]],-2)</f>
        <v>1596100</v>
      </c>
      <c r="CX71">
        <f>ROUND(Sales[[#This Row],[25Det]]*Sales[[#This Row],[Det/Nbhd Adj]],-2)</f>
        <v>118700</v>
      </c>
      <c r="CY71">
        <f>Sales[[#This Row],[Adjusted Res]]+Sales[[#This Row],[Adj Det ]]</f>
        <v>1714800</v>
      </c>
      <c r="CZ71">
        <f>ROUND((Sales[[#This Row],[Mdl Land Intercept]]+Sales[[#This Row],[Mdl LnAcres]])*Sales[[#This Row],[Det/Nbhd Adj]],-2)</f>
        <v>77300</v>
      </c>
      <c r="DA71">
        <f>Sales[[#This Row],[Adjusted Impr Total]]+Sales[[#This Row],[Adjusted Land Total]]</f>
        <v>1792100</v>
      </c>
      <c r="DB71">
        <f>IFERROR((Sales[[#This Row],[Adjusted Impr Total]]-Sales[[#This Row],[24Bldg]])/Sales[[#This Row],[24Bldg]],0)</f>
        <v>3.4570135746606334E-2</v>
      </c>
      <c r="DC71">
        <f>(Sales[[#This Row],[Adjusted Land Total]]-Sales[[#This Row],[24Lnd]])/Sales[[#This Row],[24Lnd]]</f>
        <v>-0.48466666666666669</v>
      </c>
      <c r="DD71">
        <f>(Sales[[#This Row],[Adjusted Total]]-Sales[[#This Row],[24Final]])/Sales[[#This Row],[24Final]]</f>
        <v>-8.5200553250345777E-3</v>
      </c>
      <c r="DE71">
        <f>(Sales[[#This Row],[Adjusted Total]]+Sales[[#This Row],[Days Prior Total]])/Sales[[#This Row],[Price]]</f>
        <v>1.0320832433835294</v>
      </c>
    </row>
    <row r="72" spans="1:109" x14ac:dyDescent="0.3">
      <c r="A72">
        <v>2025</v>
      </c>
      <c r="B72">
        <v>17132414418</v>
      </c>
      <c r="C72">
        <v>0</v>
      </c>
      <c r="D72">
        <v>1</v>
      </c>
      <c r="E72">
        <v>43385</v>
      </c>
      <c r="F72">
        <v>1</v>
      </c>
      <c r="G72" t="s">
        <v>89</v>
      </c>
      <c r="H72">
        <v>3042</v>
      </c>
      <c r="I72" t="s">
        <v>302</v>
      </c>
      <c r="J72" t="s">
        <v>26</v>
      </c>
      <c r="K72">
        <v>11</v>
      </c>
      <c r="L72">
        <v>130</v>
      </c>
      <c r="M72" t="s">
        <v>172</v>
      </c>
      <c r="N72" t="s">
        <v>111</v>
      </c>
      <c r="O72" t="s">
        <v>207</v>
      </c>
      <c r="P72">
        <v>1992</v>
      </c>
      <c r="Q72">
        <v>1992</v>
      </c>
      <c r="R72">
        <v>40</v>
      </c>
      <c r="S72">
        <v>32</v>
      </c>
      <c r="T72">
        <v>32</v>
      </c>
      <c r="U72">
        <v>1</v>
      </c>
      <c r="V72">
        <v>2836</v>
      </c>
      <c r="W72">
        <v>0</v>
      </c>
      <c r="X72">
        <v>0</v>
      </c>
      <c r="Y72">
        <v>0</v>
      </c>
      <c r="Z72">
        <v>0</v>
      </c>
      <c r="AA72">
        <v>0</v>
      </c>
      <c r="AB72">
        <v>2836</v>
      </c>
      <c r="AC72">
        <v>3000</v>
      </c>
      <c r="AD72">
        <v>2</v>
      </c>
      <c r="AE72" t="s">
        <v>5</v>
      </c>
      <c r="AF72" t="s">
        <v>275</v>
      </c>
      <c r="AG72" t="s">
        <v>111</v>
      </c>
      <c r="AH72" t="s">
        <v>314</v>
      </c>
      <c r="AI72">
        <v>0</v>
      </c>
      <c r="AJ72">
        <v>0</v>
      </c>
      <c r="AK72">
        <v>1</v>
      </c>
      <c r="AL72">
        <v>1</v>
      </c>
      <c r="AM72">
        <v>0</v>
      </c>
      <c r="AN72">
        <v>12</v>
      </c>
      <c r="AO72">
        <v>756</v>
      </c>
      <c r="AP72">
        <v>0</v>
      </c>
      <c r="AQ72">
        <v>756</v>
      </c>
      <c r="AR72">
        <v>0</v>
      </c>
      <c r="AS72">
        <v>678</v>
      </c>
      <c r="AT72">
        <v>0</v>
      </c>
      <c r="AU72">
        <v>0</v>
      </c>
      <c r="AV72">
        <v>100</v>
      </c>
      <c r="AW72">
        <v>100</v>
      </c>
      <c r="AX72">
        <v>534738</v>
      </c>
      <c r="AY72">
        <v>475917</v>
      </c>
      <c r="AZ72">
        <v>1007</v>
      </c>
      <c r="BA72">
        <v>365</v>
      </c>
      <c r="BB72">
        <v>365</v>
      </c>
      <c r="BC72">
        <v>277</v>
      </c>
      <c r="BD72" s="6">
        <v>44285</v>
      </c>
      <c r="BE72" t="s">
        <v>81</v>
      </c>
      <c r="BF72">
        <v>516500</v>
      </c>
      <c r="BG72">
        <v>479786</v>
      </c>
      <c r="BH72" t="s">
        <v>198</v>
      </c>
      <c r="BI72">
        <v>30</v>
      </c>
      <c r="BJ72" t="s">
        <v>51</v>
      </c>
      <c r="BK72" t="s">
        <v>314</v>
      </c>
      <c r="BL72">
        <v>638900</v>
      </c>
      <c r="BM72">
        <v>160500</v>
      </c>
      <c r="BN72">
        <v>478400</v>
      </c>
      <c r="BO72">
        <v>36714</v>
      </c>
      <c r="BP72">
        <v>1.2369796708615683</v>
      </c>
      <c r="BQ72">
        <v>502984.40446677839</v>
      </c>
      <c r="BR72">
        <v>611464.09699014726</v>
      </c>
      <c r="BS72" s="7">
        <f>(BR72-BL72)/BL72</f>
        <v>-4.2942405712713641E-2</v>
      </c>
      <c r="BT72" s="14">
        <f>(Sales[[#This Row],[DP1]]*Lookups!$B$51)+(Sales[[#This Row],[DP2]]*Lookups!$B$52)+(Sales[[#This Row],[DP3]]*Lookups!$B$53)</f>
        <v>-108479.69271</v>
      </c>
      <c r="BU72" s="14">
        <f>Lookups!$B$48*0.5</f>
        <v>87214.824999999997</v>
      </c>
      <c r="BV72" s="14">
        <f>Lookups!$B$48*0.5</f>
        <v>87214.824999999997</v>
      </c>
      <c r="BW72" s="14">
        <f>Lookups!$B$49*Sales[[#This Row],[LnAcres]]</f>
        <v>0</v>
      </c>
      <c r="BX72" s="14">
        <f>VLOOKUP(Sales[[#This Row],[Qlty]],Lookups!$A$54:$E$67,2,FALSE)</f>
        <v>-14329.694740000001</v>
      </c>
      <c r="BY72" s="14">
        <f>VLOOKUP(Sales[[#This Row],[Cnd]],Lookups!$A$68:$E$76,2,FALSE)</f>
        <v>47273.897095</v>
      </c>
      <c r="BZ72" s="14">
        <f>Sales[[#This Row],[Age]]*Lookups!$B$77</f>
        <v>5904.3977599999998</v>
      </c>
      <c r="CA72" s="14">
        <f>Sales[[#This Row],[MainFn]]*Lookups!$B$78</f>
        <v>195920.68972400003</v>
      </c>
      <c r="CB72" s="14">
        <f>Sales[[#This Row],[UpprFn]]*Lookups!$B$79</f>
        <v>0</v>
      </c>
      <c r="CC72" s="14">
        <f>Sales[[#This Row],[AddFn]]*Lookups!$B$80</f>
        <v>0</v>
      </c>
      <c r="CD72" s="14">
        <f>Sales[[#This Row],[Bsmt]]*Lookups!$B$81</f>
        <v>0</v>
      </c>
      <c r="CE72" s="14">
        <f>Sales[[#This Row],[Fixtures]]*Lookups!$B$84</f>
        <v>121861.20000000001</v>
      </c>
      <c r="CF72" s="14">
        <f>Sales[[#This Row],[MsnryFP]]*Lookups!$B$82</f>
        <v>0</v>
      </c>
      <c r="CG72" s="14">
        <f>Sales[[#This Row],[PrefabFP]]*Lookups!$B$83</f>
        <v>42091.021999999997</v>
      </c>
      <c r="CH72" s="14">
        <f>Sales[[#This Row],[GarageArea]]*Lookups!$B$85</f>
        <v>38312.943732</v>
      </c>
      <c r="CI72" s="14">
        <f>SUM(Sales[[#This Row],[Days Prior Total]:[Mdl GarageArea]])</f>
        <v>502984.41286100005</v>
      </c>
      <c r="CJ72" s="14">
        <f>ROUND(Sales[[#This Row],[25Det]],-2)</f>
        <v>36700</v>
      </c>
      <c r="CK72" s="14">
        <f>ROUND(SUM(Sales[[#This Row],[Mdl Qlty]:[Mdl GarageArea]])+Sales[[#This Row],[Mdl Res Intercept]]+Sales[[#This Row],[Days Prior Total]],-2)</f>
        <v>415800</v>
      </c>
      <c r="CL72" s="14">
        <f>ROUND(Sales[[#This Row],[Mdl Land Intercept]]+Sales[[#This Row],[Mdl LnAcres]],-2)</f>
        <v>87200</v>
      </c>
      <c r="CM72" s="14">
        <f>Sales[[#This Row],[Unadj Res Value]]+Sales[[#This Row],[Unadj Det Value]]+Sales[[#This Row],[Unadj Land Value]]</f>
        <v>539700</v>
      </c>
      <c r="CN72" s="15">
        <f>Sales[[#This Row],[Unadj Total Value]]/Sales[[#This Row],[Price]]</f>
        <v>1.0449177153920619</v>
      </c>
      <c r="CO72" s="15">
        <f>(Sales[[#This Row],[Unadj Total Value]]-Sales[[#This Row],[24Final]])/Sales[[#This Row],[24Final]]</f>
        <v>-0.15526686492408828</v>
      </c>
      <c r="CP72">
        <f>VLOOKUP(Sales[[#This Row],[TNbhd]],Lookups!$M$2:$P$4,4,FALSE)</f>
        <v>0.97570000000000001</v>
      </c>
      <c r="CQ72">
        <f>VLOOKUP(Sales[[#This Row],[Qlty]],Lookups!$M$6:$P$20,4,FALSE)</f>
        <v>0.98809999999999998</v>
      </c>
      <c r="CR72">
        <f>VLOOKUP(Sales[[#This Row],[Cnd]],Lookups!$R$6:$U$15,4,FALSE)</f>
        <v>0.97829999999999995</v>
      </c>
      <c r="CS72">
        <f>VLOOKUP(Sales[[#This Row],[LivArea Range]],Lookups!$R$23:$U$39,4,FALSE)</f>
        <v>0.93310000000000004</v>
      </c>
      <c r="CT72">
        <f>VLOOKUP(Sales[[#This Row],[Decade]],Lookups!$M$23:$P$35,4,FALSE)</f>
        <v>0.91679999999999995</v>
      </c>
      <c r="CU72">
        <f>Sales[[#This Row],[Nbhd Adj]]*0.95</f>
        <v>0.92691499999999993</v>
      </c>
      <c r="CV72">
        <f>Sales[[#This Row],[Nbhd Adj]]*Sales[[#This Row],[Quality Adj]]*Sales[[#This Row],[Condition Adj]]*Sales[[#This Row],[Living Area Adj]]*Sales[[#This Row],[Decade Adj]]*0.95</f>
        <v>0.766506173684665</v>
      </c>
      <c r="CW72">
        <f>ROUND(SUM(Sales[[#This Row],[Mdl Qlty]:[Mdl GarageArea]])+Sales[[#This Row],[Mdl Res Intercept]]*Sales[[#This Row],[Res Adj ]],-2)</f>
        <v>503900</v>
      </c>
      <c r="CX72">
        <f>ROUND(Sales[[#This Row],[25Det]]*Sales[[#This Row],[Det/Nbhd Adj]],-2)</f>
        <v>34000</v>
      </c>
      <c r="CY72">
        <f>Sales[[#This Row],[Adjusted Res]]+Sales[[#This Row],[Adj Det ]]</f>
        <v>537900</v>
      </c>
      <c r="CZ72">
        <f>ROUND((Sales[[#This Row],[Mdl Land Intercept]]+Sales[[#This Row],[Mdl LnAcres]])*Sales[[#This Row],[Det/Nbhd Adj]],-2)</f>
        <v>80800</v>
      </c>
      <c r="DA72">
        <f>Sales[[#This Row],[Adjusted Impr Total]]+Sales[[#This Row],[Adjusted Land Total]]</f>
        <v>618700</v>
      </c>
      <c r="DB72">
        <f>IFERROR((Sales[[#This Row],[Adjusted Impr Total]]-Sales[[#This Row],[24Bldg]])/Sales[[#This Row],[24Bldg]],0)</f>
        <v>0.12437290969899666</v>
      </c>
      <c r="DC72">
        <f>(Sales[[#This Row],[Adjusted Land Total]]-Sales[[#This Row],[24Lnd]])/Sales[[#This Row],[24Lnd]]</f>
        <v>-0.49657320872274141</v>
      </c>
      <c r="DD72">
        <f>(Sales[[#This Row],[Adjusted Total]]-Sales[[#This Row],[24Final]])/Sales[[#This Row],[24Final]]</f>
        <v>-3.1616841446235715E-2</v>
      </c>
      <c r="DE72">
        <f>(Sales[[#This Row],[Adjusted Total]]+Sales[[#This Row],[Days Prior Total]])/Sales[[#This Row],[Price]]</f>
        <v>0.98784183405614723</v>
      </c>
    </row>
    <row r="73" spans="1:109" x14ac:dyDescent="0.3">
      <c r="A73">
        <v>2025</v>
      </c>
      <c r="B73">
        <v>18131643436</v>
      </c>
      <c r="C73">
        <v>-1.0498221244986778</v>
      </c>
      <c r="D73">
        <v>0.35</v>
      </c>
      <c r="E73">
        <v>15199</v>
      </c>
      <c r="F73">
        <v>5</v>
      </c>
      <c r="G73" t="s">
        <v>89</v>
      </c>
      <c r="H73" t="s">
        <v>302</v>
      </c>
      <c r="I73" t="s">
        <v>302</v>
      </c>
      <c r="J73" t="s">
        <v>26</v>
      </c>
      <c r="K73">
        <v>11</v>
      </c>
      <c r="L73">
        <v>259</v>
      </c>
      <c r="M73" t="s">
        <v>204</v>
      </c>
      <c r="N73" t="s">
        <v>75</v>
      </c>
      <c r="O73" t="s">
        <v>231</v>
      </c>
      <c r="P73">
        <v>1992</v>
      </c>
      <c r="Q73">
        <v>1992</v>
      </c>
      <c r="R73">
        <v>40</v>
      </c>
      <c r="S73">
        <v>32</v>
      </c>
      <c r="T73">
        <v>32</v>
      </c>
      <c r="U73">
        <v>1</v>
      </c>
      <c r="V73">
        <v>2439</v>
      </c>
      <c r="W73">
        <v>0</v>
      </c>
      <c r="X73">
        <v>0</v>
      </c>
      <c r="Y73">
        <v>1492</v>
      </c>
      <c r="Z73">
        <v>1492</v>
      </c>
      <c r="AA73">
        <v>0</v>
      </c>
      <c r="AB73">
        <v>3931</v>
      </c>
      <c r="AC73">
        <v>4000</v>
      </c>
      <c r="AD73">
        <v>3</v>
      </c>
      <c r="AE73" t="s">
        <v>5</v>
      </c>
      <c r="AF73" t="s">
        <v>275</v>
      </c>
      <c r="AG73" t="s">
        <v>111</v>
      </c>
      <c r="AH73" t="s">
        <v>314</v>
      </c>
      <c r="AI73">
        <v>0</v>
      </c>
      <c r="AJ73">
        <v>1</v>
      </c>
      <c r="AK73">
        <v>0</v>
      </c>
      <c r="AL73">
        <v>0</v>
      </c>
      <c r="AM73">
        <v>1</v>
      </c>
      <c r="AN73">
        <v>13</v>
      </c>
      <c r="AO73">
        <v>665</v>
      </c>
      <c r="AP73">
        <v>0</v>
      </c>
      <c r="AQ73">
        <v>665</v>
      </c>
      <c r="AR73">
        <v>0</v>
      </c>
      <c r="AS73">
        <v>120</v>
      </c>
      <c r="AT73">
        <v>419</v>
      </c>
      <c r="AU73">
        <v>355</v>
      </c>
      <c r="AV73">
        <v>100</v>
      </c>
      <c r="AW73">
        <v>100</v>
      </c>
      <c r="AX73">
        <v>672047</v>
      </c>
      <c r="AY73">
        <v>611563</v>
      </c>
      <c r="AZ73">
        <v>74</v>
      </c>
      <c r="BA73">
        <v>74</v>
      </c>
      <c r="BB73">
        <v>0</v>
      </c>
      <c r="BC73">
        <v>0</v>
      </c>
      <c r="BD73" s="6">
        <v>45218</v>
      </c>
      <c r="BE73" t="s">
        <v>264</v>
      </c>
      <c r="BF73">
        <v>600000</v>
      </c>
      <c r="BG73">
        <v>600000</v>
      </c>
      <c r="BH73" t="s">
        <v>148</v>
      </c>
      <c r="BI73">
        <v>30</v>
      </c>
      <c r="BJ73" t="s">
        <v>51</v>
      </c>
      <c r="BK73" t="s">
        <v>314</v>
      </c>
      <c r="BL73">
        <v>565200</v>
      </c>
      <c r="BM73">
        <v>100900</v>
      </c>
      <c r="BN73">
        <v>464300</v>
      </c>
      <c r="BO73">
        <v>0</v>
      </c>
      <c r="BP73">
        <v>0.94199999999999995</v>
      </c>
      <c r="BQ73">
        <v>563714.51555090444</v>
      </c>
      <c r="BR73">
        <v>575418.50079235469</v>
      </c>
      <c r="BS73" s="7">
        <f>(BR73-BL73)/BL73</f>
        <v>1.8079442307775469E-2</v>
      </c>
      <c r="BT73" s="14">
        <f>(Sales[[#This Row],[DP1]]*Lookups!$B$51)+(Sales[[#This Row],[DP2]]*Lookups!$B$52)+(Sales[[#This Row],[DP3]]*Lookups!$B$53)</f>
        <v>-11703.988000000001</v>
      </c>
      <c r="BU73" s="14">
        <f>Lookups!$B$48*0.5</f>
        <v>87214.824999999997</v>
      </c>
      <c r="BV73" s="14">
        <f>Lookups!$B$48*0.5</f>
        <v>87214.824999999997</v>
      </c>
      <c r="BW73" s="14">
        <f>Lookups!$B$49*Sales[[#This Row],[LnAcres]]</f>
        <v>-26274.786459345738</v>
      </c>
      <c r="BX73" s="14">
        <f>VLOOKUP(Sales[[#This Row],[Qlty]],Lookups!$A$54:$E$67,2,FALSE)</f>
        <v>19189.450408000001</v>
      </c>
      <c r="BY73" s="14">
        <f>VLOOKUP(Sales[[#This Row],[Cnd]],Lookups!$A$68:$E$76,2,FALSE)</f>
        <v>0</v>
      </c>
      <c r="BZ73" s="14">
        <f>Sales[[#This Row],[Age]]*Lookups!$B$77</f>
        <v>5904.3977599999998</v>
      </c>
      <c r="CA73" s="14">
        <f>Sales[[#This Row],[MainFn]]*Lookups!$B$78</f>
        <v>168494.55650100001</v>
      </c>
      <c r="CB73" s="14">
        <f>Sales[[#This Row],[UpprFn]]*Lookups!$B$79</f>
        <v>0</v>
      </c>
      <c r="CC73" s="14">
        <f>Sales[[#This Row],[AddFn]]*Lookups!$B$80</f>
        <v>0</v>
      </c>
      <c r="CD73" s="14">
        <f>Sales[[#This Row],[Bsmt]]*Lookups!$B$81</f>
        <v>42684.117736</v>
      </c>
      <c r="CE73" s="14">
        <f>Sales[[#This Row],[Fixtures]]*Lookups!$B$84</f>
        <v>132016.30000000002</v>
      </c>
      <c r="CF73" s="14">
        <f>Sales[[#This Row],[MsnryFP]]*Lookups!$B$82</f>
        <v>25273.623</v>
      </c>
      <c r="CG73" s="14">
        <f>Sales[[#This Row],[PrefabFP]]*Lookups!$B$83</f>
        <v>0</v>
      </c>
      <c r="CH73" s="14">
        <f>Sales[[#This Row],[GarageArea]]*Lookups!$B$85</f>
        <v>33701.200505000001</v>
      </c>
      <c r="CI73" s="14">
        <f>SUM(Sales[[#This Row],[Days Prior Total]:[Mdl GarageArea]])</f>
        <v>563714.52145065425</v>
      </c>
      <c r="CJ73" s="14">
        <f>ROUND(Sales[[#This Row],[25Det]],-2)</f>
        <v>0</v>
      </c>
      <c r="CK73" s="14">
        <f>ROUND(SUM(Sales[[#This Row],[Mdl Qlty]:[Mdl GarageArea]])+Sales[[#This Row],[Mdl Res Intercept]]+Sales[[#This Row],[Days Prior Total]],-2)</f>
        <v>502800</v>
      </c>
      <c r="CL73" s="14">
        <f>ROUND(Sales[[#This Row],[Mdl Land Intercept]]+Sales[[#This Row],[Mdl LnAcres]],-2)</f>
        <v>60900</v>
      </c>
      <c r="CM73" s="14">
        <f>Sales[[#This Row],[Unadj Res Value]]+Sales[[#This Row],[Unadj Det Value]]+Sales[[#This Row],[Unadj Land Value]]</f>
        <v>563700</v>
      </c>
      <c r="CN73" s="15">
        <f>Sales[[#This Row],[Unadj Total Value]]/Sales[[#This Row],[Price]]</f>
        <v>0.9395</v>
      </c>
      <c r="CO73" s="15">
        <f>(Sales[[#This Row],[Unadj Total Value]]-Sales[[#This Row],[24Final]])/Sales[[#This Row],[24Final]]</f>
        <v>-2.6539278131634818E-3</v>
      </c>
      <c r="CP73">
        <f>VLOOKUP(Sales[[#This Row],[TNbhd]],Lookups!$M$2:$P$4,4,FALSE)</f>
        <v>0.97570000000000001</v>
      </c>
      <c r="CQ73">
        <f>VLOOKUP(Sales[[#This Row],[Qlty]],Lookups!$M$6:$P$20,4,FALSE)</f>
        <v>0.9819</v>
      </c>
      <c r="CR73">
        <f>VLOOKUP(Sales[[#This Row],[Cnd]],Lookups!$R$6:$U$15,4,FALSE)</f>
        <v>0.9677</v>
      </c>
      <c r="CS73">
        <f>VLOOKUP(Sales[[#This Row],[LivArea Range]],Lookups!$R$23:$U$39,4,FALSE)</f>
        <v>1.034</v>
      </c>
      <c r="CT73">
        <f>VLOOKUP(Sales[[#This Row],[Decade]],Lookups!$M$23:$P$35,4,FALSE)</f>
        <v>0.91679999999999995</v>
      </c>
      <c r="CU73">
        <f>Sales[[#This Row],[Nbhd Adj]]*0.95</f>
        <v>0.92691499999999993</v>
      </c>
      <c r="CV73">
        <f>Sales[[#This Row],[Nbhd Adj]]*Sales[[#This Row],[Quality Adj]]*Sales[[#This Row],[Condition Adj]]*Sales[[#This Row],[Living Area Adj]]*Sales[[#This Row],[Decade Adj]]*0.95</f>
        <v>0.83491652090486868</v>
      </c>
      <c r="CW73">
        <f>ROUND(SUM(Sales[[#This Row],[Mdl Qlty]:[Mdl GarageArea]])+Sales[[#This Row],[Mdl Res Intercept]]*Sales[[#This Row],[Res Adj ]],-2)</f>
        <v>500100</v>
      </c>
      <c r="CX73">
        <f>ROUND(Sales[[#This Row],[25Det]]*Sales[[#This Row],[Det/Nbhd Adj]],-2)</f>
        <v>0</v>
      </c>
      <c r="CY73">
        <f>Sales[[#This Row],[Adjusted Res]]+Sales[[#This Row],[Adj Det ]]</f>
        <v>500100</v>
      </c>
      <c r="CZ73">
        <f>ROUND((Sales[[#This Row],[Mdl Land Intercept]]+Sales[[#This Row],[Mdl LnAcres]])*Sales[[#This Row],[Det/Nbhd Adj]],-2)</f>
        <v>56500</v>
      </c>
      <c r="DA73">
        <f>Sales[[#This Row],[Adjusted Impr Total]]+Sales[[#This Row],[Adjusted Land Total]]</f>
        <v>556600</v>
      </c>
      <c r="DB73">
        <f>IFERROR((Sales[[#This Row],[Adjusted Impr Total]]-Sales[[#This Row],[24Bldg]])/Sales[[#This Row],[24Bldg]],0)</f>
        <v>7.7105319836312733E-2</v>
      </c>
      <c r="DC73">
        <f>(Sales[[#This Row],[Adjusted Land Total]]-Sales[[#This Row],[24Lnd]])/Sales[[#This Row],[24Lnd]]</f>
        <v>-0.44003964321110012</v>
      </c>
      <c r="DD73">
        <f>(Sales[[#This Row],[Adjusted Total]]-Sales[[#This Row],[24Final]])/Sales[[#This Row],[24Final]]</f>
        <v>-1.5215852795470631E-2</v>
      </c>
      <c r="DE73">
        <f>(Sales[[#This Row],[Adjusted Total]]+Sales[[#This Row],[Days Prior Total]])/Sales[[#This Row],[Price]]</f>
        <v>0.90816001999999996</v>
      </c>
    </row>
    <row r="74" spans="1:109" x14ac:dyDescent="0.3">
      <c r="A74">
        <v>2025</v>
      </c>
      <c r="B74">
        <v>18131742421</v>
      </c>
      <c r="C74">
        <v>-0.3285040669720361</v>
      </c>
      <c r="D74">
        <v>0.72</v>
      </c>
      <c r="E74">
        <v>31244</v>
      </c>
      <c r="F74">
        <v>1</v>
      </c>
      <c r="G74" t="s">
        <v>89</v>
      </c>
      <c r="H74" t="s">
        <v>203</v>
      </c>
      <c r="I74" t="s">
        <v>302</v>
      </c>
      <c r="J74" t="s">
        <v>110</v>
      </c>
      <c r="K74">
        <v>11</v>
      </c>
      <c r="L74">
        <v>331</v>
      </c>
      <c r="M74" t="s">
        <v>313</v>
      </c>
      <c r="N74" t="s">
        <v>50</v>
      </c>
      <c r="O74" t="s">
        <v>258</v>
      </c>
      <c r="P74">
        <v>1991</v>
      </c>
      <c r="Q74">
        <v>1991</v>
      </c>
      <c r="R74">
        <v>40</v>
      </c>
      <c r="S74">
        <v>33</v>
      </c>
      <c r="T74">
        <v>33</v>
      </c>
      <c r="U74">
        <v>2</v>
      </c>
      <c r="V74">
        <v>2009</v>
      </c>
      <c r="W74">
        <v>1073</v>
      </c>
      <c r="X74">
        <v>0</v>
      </c>
      <c r="Y74">
        <v>0</v>
      </c>
      <c r="Z74">
        <v>0</v>
      </c>
      <c r="AA74">
        <v>0</v>
      </c>
      <c r="AB74">
        <v>3082</v>
      </c>
      <c r="AC74">
        <v>3500</v>
      </c>
      <c r="AD74">
        <v>3</v>
      </c>
      <c r="AE74" t="s">
        <v>5</v>
      </c>
      <c r="AF74" t="s">
        <v>275</v>
      </c>
      <c r="AG74" t="s">
        <v>111</v>
      </c>
      <c r="AH74" t="s">
        <v>314</v>
      </c>
      <c r="AI74">
        <v>0</v>
      </c>
      <c r="AJ74">
        <v>2</v>
      </c>
      <c r="AK74">
        <v>0</v>
      </c>
      <c r="AL74">
        <v>0</v>
      </c>
      <c r="AM74">
        <v>1</v>
      </c>
      <c r="AN74">
        <v>14</v>
      </c>
      <c r="AO74">
        <v>726</v>
      </c>
      <c r="AP74">
        <v>0</v>
      </c>
      <c r="AQ74">
        <v>726</v>
      </c>
      <c r="AR74">
        <v>0</v>
      </c>
      <c r="AS74">
        <v>312</v>
      </c>
      <c r="AT74">
        <v>336</v>
      </c>
      <c r="AU74">
        <v>0</v>
      </c>
      <c r="AV74">
        <v>100</v>
      </c>
      <c r="AW74">
        <v>100</v>
      </c>
      <c r="AX74">
        <v>686076</v>
      </c>
      <c r="AY74">
        <v>638051</v>
      </c>
      <c r="AZ74">
        <v>558</v>
      </c>
      <c r="BA74">
        <v>365</v>
      </c>
      <c r="BB74">
        <v>193</v>
      </c>
      <c r="BC74">
        <v>0</v>
      </c>
      <c r="BD74" s="6">
        <v>44734</v>
      </c>
      <c r="BE74" t="s">
        <v>66</v>
      </c>
      <c r="BF74">
        <v>900000</v>
      </c>
      <c r="BG74">
        <v>856928</v>
      </c>
      <c r="BH74" t="s">
        <v>198</v>
      </c>
      <c r="BI74">
        <v>30</v>
      </c>
      <c r="BJ74" t="s">
        <v>51</v>
      </c>
      <c r="BK74" t="s">
        <v>314</v>
      </c>
      <c r="BL74">
        <v>796400</v>
      </c>
      <c r="BM74">
        <v>141900</v>
      </c>
      <c r="BN74">
        <v>654500</v>
      </c>
      <c r="BO74">
        <v>43072</v>
      </c>
      <c r="BP74">
        <v>0.88488888888888884</v>
      </c>
      <c r="BQ74">
        <v>720161.02031701431</v>
      </c>
      <c r="BR74">
        <v>759527.23936546466</v>
      </c>
      <c r="BS74" s="7">
        <f>(BR74-BL74)/BL74</f>
        <v>-4.6299297632515495E-2</v>
      </c>
      <c r="BT74" s="14">
        <f>(Sales[[#This Row],[DP1]]*Lookups!$B$51)+(Sales[[#This Row],[DP2]]*Lookups!$B$52)+(Sales[[#This Row],[DP3]]*Lookups!$B$53)</f>
        <v>-39366.232622000003</v>
      </c>
      <c r="BU74" s="14">
        <f>Lookups!$B$48*0.5</f>
        <v>87214.824999999997</v>
      </c>
      <c r="BV74" s="14">
        <f>Lookups!$B$48*0.5</f>
        <v>87214.824999999997</v>
      </c>
      <c r="BW74" s="14">
        <f>Lookups!$B$49*Sales[[#This Row],[LnAcres]]</f>
        <v>-8221.7491985498054</v>
      </c>
      <c r="BX74" s="14">
        <f>VLOOKUP(Sales[[#This Row],[Qlty]],Lookups!$A$54:$E$67,2,FALSE)</f>
        <v>46722.525125</v>
      </c>
      <c r="BY74" s="14">
        <f>VLOOKUP(Sales[[#This Row],[Cnd]],Lookups!$A$68:$E$76,2,FALSE)</f>
        <v>106557.38887</v>
      </c>
      <c r="BZ74" s="14">
        <f>Sales[[#This Row],[Age]]*Lookups!$B$77</f>
        <v>6088.9101899999996</v>
      </c>
      <c r="CA74" s="14">
        <f>Sales[[#This Row],[MainFn]]*Lookups!$B$78</f>
        <v>138788.669131</v>
      </c>
      <c r="CB74" s="14">
        <f>Sales[[#This Row],[UpprFn]]*Lookups!$B$79</f>
        <v>65650.619774999999</v>
      </c>
      <c r="CC74" s="14">
        <f>Sales[[#This Row],[AddFn]]*Lookups!$B$80</f>
        <v>0</v>
      </c>
      <c r="CD74" s="14">
        <f>Sales[[#This Row],[Bsmt]]*Lookups!$B$81</f>
        <v>0</v>
      </c>
      <c r="CE74" s="14">
        <f>Sales[[#This Row],[Fixtures]]*Lookups!$B$84</f>
        <v>142171.4</v>
      </c>
      <c r="CF74" s="14">
        <f>Sales[[#This Row],[MsnryFP]]*Lookups!$B$82</f>
        <v>50547.245999999999</v>
      </c>
      <c r="CG74" s="14">
        <f>Sales[[#This Row],[PrefabFP]]*Lookups!$B$83</f>
        <v>0</v>
      </c>
      <c r="CH74" s="14">
        <f>Sales[[#This Row],[GarageArea]]*Lookups!$B$85</f>
        <v>36792.588821999998</v>
      </c>
      <c r="CI74" s="14">
        <f>SUM(Sales[[#This Row],[Days Prior Total]:[Mdl GarageArea]])</f>
        <v>720161.01609245024</v>
      </c>
      <c r="CJ74" s="14">
        <f>ROUND(Sales[[#This Row],[25Det]],-2)</f>
        <v>43100</v>
      </c>
      <c r="CK74" s="14">
        <f>ROUND(SUM(Sales[[#This Row],[Mdl Qlty]:[Mdl GarageArea]])+Sales[[#This Row],[Mdl Res Intercept]]+Sales[[#This Row],[Days Prior Total]],-2)</f>
        <v>641200</v>
      </c>
      <c r="CL74" s="14">
        <f>ROUND(Sales[[#This Row],[Mdl Land Intercept]]+Sales[[#This Row],[Mdl LnAcres]],-2)</f>
        <v>79000</v>
      </c>
      <c r="CM74" s="14">
        <f>Sales[[#This Row],[Unadj Res Value]]+Sales[[#This Row],[Unadj Det Value]]+Sales[[#This Row],[Unadj Land Value]]</f>
        <v>763300</v>
      </c>
      <c r="CN74" s="15">
        <f>Sales[[#This Row],[Unadj Total Value]]/Sales[[#This Row],[Price]]</f>
        <v>0.84811111111111115</v>
      </c>
      <c r="CO74" s="15">
        <f>(Sales[[#This Row],[Unadj Total Value]]-Sales[[#This Row],[24Final]])/Sales[[#This Row],[24Final]]</f>
        <v>-4.1562029131089903E-2</v>
      </c>
      <c r="CP74">
        <f>VLOOKUP(Sales[[#This Row],[TNbhd]],Lookups!$M$2:$P$4,4,FALSE)</f>
        <v>0.97570000000000001</v>
      </c>
      <c r="CQ74">
        <f>VLOOKUP(Sales[[#This Row],[Qlty]],Lookups!$M$6:$P$20,4,FALSE)</f>
        <v>0.98329999999999995</v>
      </c>
      <c r="CR74">
        <f>VLOOKUP(Sales[[#This Row],[Cnd]],Lookups!$R$6:$U$15,4,FALSE)</f>
        <v>0.9748</v>
      </c>
      <c r="CS74">
        <f>VLOOKUP(Sales[[#This Row],[LivArea Range]],Lookups!$R$23:$U$39,4,FALSE)</f>
        <v>0.99619999999999997</v>
      </c>
      <c r="CT74">
        <f>VLOOKUP(Sales[[#This Row],[Decade]],Lookups!$M$23:$P$35,4,FALSE)</f>
        <v>0.91679999999999995</v>
      </c>
      <c r="CU74">
        <f>Sales[[#This Row],[Nbhd Adj]]*0.95</f>
        <v>0.92691499999999993</v>
      </c>
      <c r="CV74">
        <f>Sales[[#This Row],[Nbhd Adj]]*Sales[[#This Row],[Quality Adj]]*Sales[[#This Row],[Condition Adj]]*Sales[[#This Row],[Living Area Adj]]*Sales[[#This Row],[Decade Adj]]*0.95</f>
        <v>0.81145158328065969</v>
      </c>
      <c r="CW74">
        <f>ROUND(SUM(Sales[[#This Row],[Mdl Qlty]:[Mdl GarageArea]])+Sales[[#This Row],[Mdl Res Intercept]]*Sales[[#This Row],[Res Adj ]],-2)</f>
        <v>664100</v>
      </c>
      <c r="CX74">
        <f>ROUND(Sales[[#This Row],[25Det]]*Sales[[#This Row],[Det/Nbhd Adj]],-2)</f>
        <v>39900</v>
      </c>
      <c r="CY74">
        <f>Sales[[#This Row],[Adjusted Res]]+Sales[[#This Row],[Adj Det ]]</f>
        <v>704000</v>
      </c>
      <c r="CZ74">
        <f>ROUND((Sales[[#This Row],[Mdl Land Intercept]]+Sales[[#This Row],[Mdl LnAcres]])*Sales[[#This Row],[Det/Nbhd Adj]],-2)</f>
        <v>73200</v>
      </c>
      <c r="DA74">
        <f>Sales[[#This Row],[Adjusted Impr Total]]+Sales[[#This Row],[Adjusted Land Total]]</f>
        <v>777200</v>
      </c>
      <c r="DB74">
        <f>IFERROR((Sales[[#This Row],[Adjusted Impr Total]]-Sales[[#This Row],[24Bldg]])/Sales[[#This Row],[24Bldg]],0)</f>
        <v>7.5630252100840331E-2</v>
      </c>
      <c r="DC74">
        <f>(Sales[[#This Row],[Adjusted Land Total]]-Sales[[#This Row],[24Lnd]])/Sales[[#This Row],[24Lnd]]</f>
        <v>-0.48414376321353064</v>
      </c>
      <c r="DD74">
        <f>(Sales[[#This Row],[Adjusted Total]]-Sales[[#This Row],[24Final]])/Sales[[#This Row],[24Final]]</f>
        <v>-2.4108488196885988E-2</v>
      </c>
      <c r="DE74">
        <f>(Sales[[#This Row],[Adjusted Total]]+Sales[[#This Row],[Days Prior Total]])/Sales[[#This Row],[Price]]</f>
        <v>0.81981529708666667</v>
      </c>
    </row>
    <row r="75" spans="1:109" x14ac:dyDescent="0.3">
      <c r="A75">
        <v>2025</v>
      </c>
      <c r="B75">
        <v>18131642443</v>
      </c>
      <c r="C75">
        <v>-0.916290731874155</v>
      </c>
      <c r="D75">
        <v>0.4</v>
      </c>
      <c r="E75">
        <v>17326</v>
      </c>
      <c r="F75">
        <v>5</v>
      </c>
      <c r="G75" t="s">
        <v>89</v>
      </c>
      <c r="H75" t="s">
        <v>203</v>
      </c>
      <c r="I75" t="s">
        <v>302</v>
      </c>
      <c r="J75" t="s">
        <v>26</v>
      </c>
      <c r="K75">
        <v>11</v>
      </c>
      <c r="L75">
        <v>259</v>
      </c>
      <c r="M75" t="s">
        <v>313</v>
      </c>
      <c r="N75" t="s">
        <v>189</v>
      </c>
      <c r="O75" t="s">
        <v>76</v>
      </c>
      <c r="P75">
        <v>1991</v>
      </c>
      <c r="Q75">
        <v>2010</v>
      </c>
      <c r="R75">
        <v>40</v>
      </c>
      <c r="S75">
        <v>33</v>
      </c>
      <c r="T75">
        <v>14</v>
      </c>
      <c r="U75">
        <v>2</v>
      </c>
      <c r="V75">
        <v>1342</v>
      </c>
      <c r="W75">
        <v>1019</v>
      </c>
      <c r="X75">
        <v>0</v>
      </c>
      <c r="Y75">
        <v>0</v>
      </c>
      <c r="Z75">
        <v>0</v>
      </c>
      <c r="AA75">
        <v>0</v>
      </c>
      <c r="AB75">
        <v>2361</v>
      </c>
      <c r="AC75">
        <v>2500</v>
      </c>
      <c r="AD75">
        <v>3</v>
      </c>
      <c r="AE75" t="s">
        <v>5</v>
      </c>
      <c r="AF75" t="s">
        <v>153</v>
      </c>
      <c r="AG75" t="s">
        <v>274</v>
      </c>
      <c r="AI75">
        <v>0</v>
      </c>
      <c r="AJ75">
        <v>2</v>
      </c>
      <c r="AK75">
        <v>0</v>
      </c>
      <c r="AL75">
        <v>0</v>
      </c>
      <c r="AM75">
        <v>1</v>
      </c>
      <c r="AN75">
        <v>13</v>
      </c>
      <c r="AO75">
        <v>815</v>
      </c>
      <c r="AP75">
        <v>0</v>
      </c>
      <c r="AQ75">
        <v>815</v>
      </c>
      <c r="AR75">
        <v>0</v>
      </c>
      <c r="AS75">
        <v>252</v>
      </c>
      <c r="AT75">
        <v>0</v>
      </c>
      <c r="AU75">
        <v>180</v>
      </c>
      <c r="AV75">
        <v>100</v>
      </c>
      <c r="AW75">
        <v>100</v>
      </c>
      <c r="AX75">
        <v>655812</v>
      </c>
      <c r="AY75">
        <v>642696</v>
      </c>
      <c r="AZ75">
        <v>922</v>
      </c>
      <c r="BA75">
        <v>365</v>
      </c>
      <c r="BB75">
        <v>365</v>
      </c>
      <c r="BC75">
        <v>192</v>
      </c>
      <c r="BD75" s="6">
        <v>44370</v>
      </c>
      <c r="BE75" t="s">
        <v>291</v>
      </c>
      <c r="BF75">
        <v>690000</v>
      </c>
      <c r="BG75">
        <v>646134</v>
      </c>
      <c r="BH75" t="s">
        <v>198</v>
      </c>
      <c r="BI75">
        <v>30</v>
      </c>
      <c r="BJ75" t="s">
        <v>51</v>
      </c>
      <c r="BK75" t="s">
        <v>314</v>
      </c>
      <c r="BL75">
        <v>749500</v>
      </c>
      <c r="BM75">
        <v>108500</v>
      </c>
      <c r="BN75">
        <v>641000</v>
      </c>
      <c r="BO75">
        <v>43866</v>
      </c>
      <c r="BP75">
        <v>1.086231884057971</v>
      </c>
      <c r="BQ75">
        <v>729564.83336486318</v>
      </c>
      <c r="BR75">
        <v>811814.71178930544</v>
      </c>
      <c r="BS75" s="7">
        <f>(BR75-BL75)/BL75</f>
        <v>8.3141710192535606E-2</v>
      </c>
      <c r="BT75" s="14">
        <f>(Sales[[#This Row],[DP1]]*Lookups!$B$51)+(Sales[[#This Row],[DP2]]*Lookups!$B$52)+(Sales[[#This Row],[DP3]]*Lookups!$B$53)</f>
        <v>-82249.882710000005</v>
      </c>
      <c r="BU75" s="14">
        <f>Lookups!$B$48*0.5</f>
        <v>87214.824999999997</v>
      </c>
      <c r="BV75" s="14">
        <f>Lookups!$B$48*0.5</f>
        <v>87214.824999999997</v>
      </c>
      <c r="BW75" s="14">
        <f>Lookups!$B$49*Sales[[#This Row],[LnAcres]]</f>
        <v>-22932.783328573645</v>
      </c>
      <c r="BX75" s="14">
        <f>VLOOKUP(Sales[[#This Row],[Qlty]],Lookups!$A$54:$E$67,2,FALSE)</f>
        <v>141724.10243</v>
      </c>
      <c r="BY75" s="14">
        <f>VLOOKUP(Sales[[#This Row],[Cnd]],Lookups!$A$68:$E$76,2,FALSE)</f>
        <v>133581.64413</v>
      </c>
      <c r="BZ75" s="14">
        <f>Sales[[#This Row],[Age]]*Lookups!$B$77</f>
        <v>6088.9101899999996</v>
      </c>
      <c r="CA75" s="14">
        <f>Sales[[#This Row],[MainFn]]*Lookups!$B$78</f>
        <v>92710.001978</v>
      </c>
      <c r="CB75" s="14">
        <f>Sales[[#This Row],[UpprFn]]*Lookups!$B$79</f>
        <v>62346.674325</v>
      </c>
      <c r="CC75" s="14">
        <f>Sales[[#This Row],[AddFn]]*Lookups!$B$80</f>
        <v>0</v>
      </c>
      <c r="CD75" s="14">
        <f>Sales[[#This Row],[Bsmt]]*Lookups!$B$81</f>
        <v>0</v>
      </c>
      <c r="CE75" s="14">
        <f>Sales[[#This Row],[Fixtures]]*Lookups!$B$84</f>
        <v>132016.30000000002</v>
      </c>
      <c r="CF75" s="14">
        <f>Sales[[#This Row],[MsnryFP]]*Lookups!$B$82</f>
        <v>50547.245999999999</v>
      </c>
      <c r="CG75" s="14">
        <f>Sales[[#This Row],[PrefabFP]]*Lookups!$B$83</f>
        <v>0</v>
      </c>
      <c r="CH75" s="14">
        <f>Sales[[#This Row],[GarageArea]]*Lookups!$B$85</f>
        <v>41302.975055000003</v>
      </c>
      <c r="CI75" s="14">
        <f>SUM(Sales[[#This Row],[Days Prior Total]:[Mdl GarageArea]])</f>
        <v>729564.83806942648</v>
      </c>
      <c r="CJ75" s="14">
        <f>ROUND(Sales[[#This Row],[25Det]],-2)</f>
        <v>43900</v>
      </c>
      <c r="CK75" s="14">
        <f>ROUND(SUM(Sales[[#This Row],[Mdl Qlty]:[Mdl GarageArea]])+Sales[[#This Row],[Mdl Res Intercept]]+Sales[[#This Row],[Days Prior Total]],-2)</f>
        <v>665300</v>
      </c>
      <c r="CL75" s="14">
        <f>ROUND(Sales[[#This Row],[Mdl Land Intercept]]+Sales[[#This Row],[Mdl LnAcres]],-2)</f>
        <v>64300</v>
      </c>
      <c r="CM75" s="14">
        <f>Sales[[#This Row],[Unadj Res Value]]+Sales[[#This Row],[Unadj Det Value]]+Sales[[#This Row],[Unadj Land Value]]</f>
        <v>773500</v>
      </c>
      <c r="CN75" s="15">
        <f>Sales[[#This Row],[Unadj Total Value]]/Sales[[#This Row],[Price]]</f>
        <v>1.1210144927536232</v>
      </c>
      <c r="CO75" s="15">
        <f>(Sales[[#This Row],[Unadj Total Value]]-Sales[[#This Row],[24Final]])/Sales[[#This Row],[24Final]]</f>
        <v>3.2021347565043365E-2</v>
      </c>
      <c r="CP75">
        <f>VLOOKUP(Sales[[#This Row],[TNbhd]],Lookups!$M$2:$P$4,4,FALSE)</f>
        <v>0.97570000000000001</v>
      </c>
      <c r="CQ75">
        <f>VLOOKUP(Sales[[#This Row],[Qlty]],Lookups!$M$6:$P$20,4,FALSE)</f>
        <v>1.0051000000000001</v>
      </c>
      <c r="CR75">
        <f>VLOOKUP(Sales[[#This Row],[Cnd]],Lookups!$R$6:$U$15,4,FALSE)</f>
        <v>0.98370000000000002</v>
      </c>
      <c r="CS75">
        <f>VLOOKUP(Sales[[#This Row],[LivArea Range]],Lookups!$R$23:$U$39,4,FALSE)</f>
        <v>0.93440000000000001</v>
      </c>
      <c r="CT75">
        <f>VLOOKUP(Sales[[#This Row],[Decade]],Lookups!$M$23:$P$35,4,FALSE)</f>
        <v>0.91679999999999995</v>
      </c>
      <c r="CU75">
        <f>Sales[[#This Row],[Nbhd Adj]]*0.95</f>
        <v>0.92691499999999993</v>
      </c>
      <c r="CV75">
        <f>Sales[[#This Row],[Nbhd Adj]]*Sales[[#This Row],[Quality Adj]]*Sales[[#This Row],[Condition Adj]]*Sales[[#This Row],[Living Area Adj]]*Sales[[#This Row],[Decade Adj]]*0.95</f>
        <v>0.78508971696685093</v>
      </c>
      <c r="CW75">
        <f>ROUND(SUM(Sales[[#This Row],[Mdl Qlty]:[Mdl GarageArea]])+Sales[[#This Row],[Mdl Res Intercept]]*Sales[[#This Row],[Res Adj ]],-2)</f>
        <v>728800</v>
      </c>
      <c r="CX75">
        <f>ROUND(Sales[[#This Row],[25Det]]*Sales[[#This Row],[Det/Nbhd Adj]],-2)</f>
        <v>40700</v>
      </c>
      <c r="CY75">
        <f>Sales[[#This Row],[Adjusted Res]]+Sales[[#This Row],[Adj Det ]]</f>
        <v>769500</v>
      </c>
      <c r="CZ75">
        <f>ROUND((Sales[[#This Row],[Mdl Land Intercept]]+Sales[[#This Row],[Mdl LnAcres]])*Sales[[#This Row],[Det/Nbhd Adj]],-2)</f>
        <v>59600</v>
      </c>
      <c r="DA75">
        <f>Sales[[#This Row],[Adjusted Impr Total]]+Sales[[#This Row],[Adjusted Land Total]]</f>
        <v>829100</v>
      </c>
      <c r="DB75">
        <f>IFERROR((Sales[[#This Row],[Adjusted Impr Total]]-Sales[[#This Row],[24Bldg]])/Sales[[#This Row],[24Bldg]],0)</f>
        <v>0.20046801872074882</v>
      </c>
      <c r="DC75">
        <f>(Sales[[#This Row],[Adjusted Land Total]]-Sales[[#This Row],[24Lnd]])/Sales[[#This Row],[24Lnd]]</f>
        <v>-0.45069124423963136</v>
      </c>
      <c r="DD75">
        <f>(Sales[[#This Row],[Adjusted Total]]-Sales[[#This Row],[24Final]])/Sales[[#This Row],[24Final]]</f>
        <v>0.10620413609072715</v>
      </c>
      <c r="DE75">
        <f>(Sales[[#This Row],[Adjusted Total]]+Sales[[#This Row],[Days Prior Total]])/Sales[[#This Row],[Price]]</f>
        <v>1.0823914743333334</v>
      </c>
    </row>
    <row r="76" spans="1:109" x14ac:dyDescent="0.3">
      <c r="A76">
        <v>2025</v>
      </c>
      <c r="B76">
        <v>18131731412</v>
      </c>
      <c r="C76">
        <v>7.6961041136128394E-2</v>
      </c>
      <c r="D76">
        <v>1.08</v>
      </c>
      <c r="E76">
        <v>0</v>
      </c>
      <c r="F76">
        <v>1</v>
      </c>
      <c r="G76" t="s">
        <v>89</v>
      </c>
      <c r="H76" t="s">
        <v>203</v>
      </c>
      <c r="I76" t="s">
        <v>302</v>
      </c>
      <c r="J76" t="s">
        <v>110</v>
      </c>
      <c r="K76">
        <v>11</v>
      </c>
      <c r="L76">
        <v>331</v>
      </c>
      <c r="M76" t="s">
        <v>313</v>
      </c>
      <c r="N76" t="s">
        <v>274</v>
      </c>
      <c r="O76" t="s">
        <v>76</v>
      </c>
      <c r="P76">
        <v>1990</v>
      </c>
      <c r="Q76">
        <v>1990</v>
      </c>
      <c r="R76">
        <v>40</v>
      </c>
      <c r="S76">
        <v>34</v>
      </c>
      <c r="T76">
        <v>34</v>
      </c>
      <c r="U76">
        <v>2</v>
      </c>
      <c r="V76">
        <v>2324</v>
      </c>
      <c r="W76">
        <v>1968</v>
      </c>
      <c r="X76">
        <v>0</v>
      </c>
      <c r="Y76">
        <v>0</v>
      </c>
      <c r="Z76">
        <v>0</v>
      </c>
      <c r="AA76">
        <v>0</v>
      </c>
      <c r="AB76">
        <v>4292</v>
      </c>
      <c r="AC76">
        <v>4500</v>
      </c>
      <c r="AD76">
        <v>3</v>
      </c>
      <c r="AE76" t="s">
        <v>5</v>
      </c>
      <c r="AF76" t="s">
        <v>275</v>
      </c>
      <c r="AG76" t="s">
        <v>111</v>
      </c>
      <c r="AH76" t="s">
        <v>314</v>
      </c>
      <c r="AI76">
        <v>0</v>
      </c>
      <c r="AJ76">
        <v>2</v>
      </c>
      <c r="AK76">
        <v>0</v>
      </c>
      <c r="AL76">
        <v>2</v>
      </c>
      <c r="AM76">
        <v>0</v>
      </c>
      <c r="AN76">
        <v>18</v>
      </c>
      <c r="AO76">
        <v>956</v>
      </c>
      <c r="AP76">
        <v>0</v>
      </c>
      <c r="AQ76">
        <v>956</v>
      </c>
      <c r="AR76">
        <v>0</v>
      </c>
      <c r="AS76">
        <v>0</v>
      </c>
      <c r="AT76">
        <v>909</v>
      </c>
      <c r="AU76">
        <v>0</v>
      </c>
      <c r="AV76">
        <v>100</v>
      </c>
      <c r="AW76">
        <v>100</v>
      </c>
      <c r="AX76">
        <v>1148453</v>
      </c>
      <c r="AY76">
        <v>1079546</v>
      </c>
      <c r="AZ76">
        <v>591</v>
      </c>
      <c r="BA76">
        <v>365</v>
      </c>
      <c r="BB76">
        <v>226</v>
      </c>
      <c r="BC76">
        <v>0</v>
      </c>
      <c r="BD76" s="6">
        <v>44701</v>
      </c>
      <c r="BE76" t="s">
        <v>12</v>
      </c>
      <c r="BF76">
        <v>1100000</v>
      </c>
      <c r="BG76">
        <v>1044765</v>
      </c>
      <c r="BH76" t="s">
        <v>198</v>
      </c>
      <c r="BI76">
        <v>30</v>
      </c>
      <c r="BJ76" t="s">
        <v>51</v>
      </c>
      <c r="BK76" t="s">
        <v>314</v>
      </c>
      <c r="BL76">
        <v>1142200</v>
      </c>
      <c r="BM76">
        <v>170000</v>
      </c>
      <c r="BN76">
        <v>972200</v>
      </c>
      <c r="BO76">
        <v>55235</v>
      </c>
      <c r="BP76">
        <v>1.0383636363636364</v>
      </c>
      <c r="BQ76">
        <v>1086072.8937615221</v>
      </c>
      <c r="BR76">
        <v>1122299.3427975825</v>
      </c>
      <c r="BS76" s="7">
        <f>(BR76-BL76)/BL76</f>
        <v>-1.7423093330780508E-2</v>
      </c>
      <c r="BT76" s="14">
        <f>(Sales[[#This Row],[DP1]]*Lookups!$B$51)+(Sales[[#This Row],[DP2]]*Lookups!$B$52)+(Sales[[#This Row],[DP3]]*Lookups!$B$53)</f>
        <v>-36226.462604</v>
      </c>
      <c r="BU76" s="14">
        <f>Lookups!$B$48*0.5</f>
        <v>87214.824999999997</v>
      </c>
      <c r="BV76" s="14">
        <f>Lookups!$B$48*0.5</f>
        <v>87214.824999999997</v>
      </c>
      <c r="BW76" s="14">
        <f>Lookups!$B$49*Sales[[#This Row],[LnAcres]]</f>
        <v>1926.1690855546865</v>
      </c>
      <c r="BX76" s="14">
        <f>VLOOKUP(Sales[[#This Row],[Qlty]],Lookups!$A$54:$E$67,2,FALSE)</f>
        <v>243340.36395999999</v>
      </c>
      <c r="BY76" s="14">
        <f>VLOOKUP(Sales[[#This Row],[Cnd]],Lookups!$A$68:$E$76,2,FALSE)</f>
        <v>133581.64413</v>
      </c>
      <c r="BZ76" s="14">
        <f>Sales[[#This Row],[Age]]*Lookups!$B$77</f>
        <v>6273.4226199999994</v>
      </c>
      <c r="CA76" s="14">
        <f>Sales[[#This Row],[MainFn]]*Lookups!$B$78</f>
        <v>160549.95871600002</v>
      </c>
      <c r="CB76" s="14">
        <f>Sales[[#This Row],[UpprFn]]*Lookups!$B$79</f>
        <v>120410.45640000001</v>
      </c>
      <c r="CC76" s="14">
        <f>Sales[[#This Row],[AddFn]]*Lookups!$B$80</f>
        <v>0</v>
      </c>
      <c r="CD76" s="14">
        <f>Sales[[#This Row],[Bsmt]]*Lookups!$B$81</f>
        <v>0</v>
      </c>
      <c r="CE76" s="14">
        <f>Sales[[#This Row],[Fixtures]]*Lookups!$B$84</f>
        <v>182791.80000000002</v>
      </c>
      <c r="CF76" s="14">
        <f>Sales[[#This Row],[MsnryFP]]*Lookups!$B$82</f>
        <v>50547.245999999999</v>
      </c>
      <c r="CG76" s="14">
        <f>Sales[[#This Row],[PrefabFP]]*Lookups!$B$83</f>
        <v>0</v>
      </c>
      <c r="CH76" s="14">
        <f>Sales[[#This Row],[GarageArea]]*Lookups!$B$85</f>
        <v>48448.643131999997</v>
      </c>
      <c r="CI76" s="14">
        <f>SUM(Sales[[#This Row],[Days Prior Total]:[Mdl GarageArea]])</f>
        <v>1086072.8914395547</v>
      </c>
      <c r="CJ76" s="14">
        <f>ROUND(Sales[[#This Row],[25Det]],-2)</f>
        <v>55200</v>
      </c>
      <c r="CK76" s="14">
        <f>ROUND(SUM(Sales[[#This Row],[Mdl Qlty]:[Mdl GarageArea]])+Sales[[#This Row],[Mdl Res Intercept]]+Sales[[#This Row],[Days Prior Total]],-2)</f>
        <v>996900</v>
      </c>
      <c r="CL76" s="14">
        <f>ROUND(Sales[[#This Row],[Mdl Land Intercept]]+Sales[[#This Row],[Mdl LnAcres]],-2)</f>
        <v>89100</v>
      </c>
      <c r="CM76" s="14">
        <f>Sales[[#This Row],[Unadj Res Value]]+Sales[[#This Row],[Unadj Det Value]]+Sales[[#This Row],[Unadj Land Value]]</f>
        <v>1141200</v>
      </c>
      <c r="CN76" s="15">
        <f>Sales[[#This Row],[Unadj Total Value]]/Sales[[#This Row],[Price]]</f>
        <v>1.0374545454545454</v>
      </c>
      <c r="CO76" s="15">
        <f>(Sales[[#This Row],[Unadj Total Value]]-Sales[[#This Row],[24Final]])/Sales[[#This Row],[24Final]]</f>
        <v>-8.7550341446331645E-4</v>
      </c>
      <c r="CP76">
        <f>VLOOKUP(Sales[[#This Row],[TNbhd]],Lookups!$M$2:$P$4,4,FALSE)</f>
        <v>0.97570000000000001</v>
      </c>
      <c r="CQ76">
        <f>VLOOKUP(Sales[[#This Row],[Qlty]],Lookups!$M$6:$P$20,4,FALSE)</f>
        <v>0.99519999999999997</v>
      </c>
      <c r="CR76">
        <f>VLOOKUP(Sales[[#This Row],[Cnd]],Lookups!$R$6:$U$15,4,FALSE)</f>
        <v>0.98370000000000002</v>
      </c>
      <c r="CS76">
        <f>VLOOKUP(Sales[[#This Row],[LivArea Range]],Lookups!$R$23:$U$39,4,FALSE)</f>
        <v>1.0087999999999999</v>
      </c>
      <c r="CT76">
        <f>VLOOKUP(Sales[[#This Row],[Decade]],Lookups!$M$23:$P$35,4,FALSE)</f>
        <v>0.91679999999999995</v>
      </c>
      <c r="CU76">
        <f>Sales[[#This Row],[Nbhd Adj]]*0.95</f>
        <v>0.92691499999999993</v>
      </c>
      <c r="CV76">
        <f>Sales[[#This Row],[Nbhd Adj]]*Sales[[#This Row],[Quality Adj]]*Sales[[#This Row],[Condition Adj]]*Sales[[#This Row],[Living Area Adj]]*Sales[[#This Row],[Decade Adj]]*0.95</f>
        <v>0.83925246828191791</v>
      </c>
      <c r="CW76">
        <f>ROUND(SUM(Sales[[#This Row],[Mdl Qlty]:[Mdl GarageArea]])+Sales[[#This Row],[Mdl Res Intercept]]*Sales[[#This Row],[Res Adj ]],-2)</f>
        <v>1019100</v>
      </c>
      <c r="CX76">
        <f>ROUND(Sales[[#This Row],[25Det]]*Sales[[#This Row],[Det/Nbhd Adj]],-2)</f>
        <v>51200</v>
      </c>
      <c r="CY76">
        <f>Sales[[#This Row],[Adjusted Res]]+Sales[[#This Row],[Adj Det ]]</f>
        <v>1070300</v>
      </c>
      <c r="CZ76">
        <f>ROUND((Sales[[#This Row],[Mdl Land Intercept]]+Sales[[#This Row],[Mdl LnAcres]])*Sales[[#This Row],[Det/Nbhd Adj]],-2)</f>
        <v>82600</v>
      </c>
      <c r="DA76">
        <f>Sales[[#This Row],[Adjusted Impr Total]]+Sales[[#This Row],[Adjusted Land Total]]</f>
        <v>1152900</v>
      </c>
      <c r="DB76">
        <f>IFERROR((Sales[[#This Row],[Adjusted Impr Total]]-Sales[[#This Row],[24Bldg]])/Sales[[#This Row],[24Bldg]],0)</f>
        <v>0.10090516354659534</v>
      </c>
      <c r="DC76">
        <f>(Sales[[#This Row],[Adjusted Land Total]]-Sales[[#This Row],[24Lnd]])/Sales[[#This Row],[24Lnd]]</f>
        <v>-0.51411764705882357</v>
      </c>
      <c r="DD76">
        <f>(Sales[[#This Row],[Adjusted Total]]-Sales[[#This Row],[24Final]])/Sales[[#This Row],[24Final]]</f>
        <v>9.3678865347574854E-3</v>
      </c>
      <c r="DE76">
        <f>(Sales[[#This Row],[Adjusted Total]]+Sales[[#This Row],[Days Prior Total]])/Sales[[#This Row],[Price]]</f>
        <v>1.015157761269091</v>
      </c>
    </row>
    <row r="77" spans="1:109" x14ac:dyDescent="0.3">
      <c r="A77">
        <v>2025</v>
      </c>
      <c r="B77">
        <v>18131642439</v>
      </c>
      <c r="C77">
        <v>-0.79850769621777162</v>
      </c>
      <c r="D77">
        <v>0.45</v>
      </c>
      <c r="E77">
        <v>19792</v>
      </c>
      <c r="F77">
        <v>5</v>
      </c>
      <c r="G77" t="s">
        <v>89</v>
      </c>
      <c r="H77" t="s">
        <v>203</v>
      </c>
      <c r="I77" t="s">
        <v>302</v>
      </c>
      <c r="J77" t="s">
        <v>26</v>
      </c>
      <c r="K77">
        <v>11</v>
      </c>
      <c r="L77">
        <v>259</v>
      </c>
      <c r="M77" t="s">
        <v>313</v>
      </c>
      <c r="N77" t="s">
        <v>206</v>
      </c>
      <c r="O77" t="s">
        <v>258</v>
      </c>
      <c r="P77">
        <v>1990</v>
      </c>
      <c r="Q77">
        <v>1990</v>
      </c>
      <c r="R77">
        <v>40</v>
      </c>
      <c r="S77">
        <v>34</v>
      </c>
      <c r="T77">
        <v>34</v>
      </c>
      <c r="U77">
        <v>1</v>
      </c>
      <c r="V77">
        <v>4958</v>
      </c>
      <c r="W77">
        <v>0</v>
      </c>
      <c r="X77">
        <v>0</v>
      </c>
      <c r="Y77">
        <v>0</v>
      </c>
      <c r="Z77">
        <v>0</v>
      </c>
      <c r="AA77">
        <v>0</v>
      </c>
      <c r="AB77">
        <v>4958</v>
      </c>
      <c r="AC77">
        <v>5000</v>
      </c>
      <c r="AD77">
        <v>3</v>
      </c>
      <c r="AE77" t="s">
        <v>5</v>
      </c>
      <c r="AF77" t="s">
        <v>275</v>
      </c>
      <c r="AG77" t="s">
        <v>111</v>
      </c>
      <c r="AH77" t="s">
        <v>314</v>
      </c>
      <c r="AI77">
        <v>0</v>
      </c>
      <c r="AJ77">
        <v>1</v>
      </c>
      <c r="AK77">
        <v>0</v>
      </c>
      <c r="AL77">
        <v>2</v>
      </c>
      <c r="AM77">
        <v>2</v>
      </c>
      <c r="AN77">
        <v>20</v>
      </c>
      <c r="AO77">
        <v>864</v>
      </c>
      <c r="AP77">
        <v>0</v>
      </c>
      <c r="AQ77">
        <v>864</v>
      </c>
      <c r="AR77">
        <v>0</v>
      </c>
      <c r="AS77">
        <v>88</v>
      </c>
      <c r="AT77">
        <v>722</v>
      </c>
      <c r="AU77">
        <v>0</v>
      </c>
      <c r="AV77">
        <v>100</v>
      </c>
      <c r="AW77">
        <v>100</v>
      </c>
      <c r="AX77">
        <v>1661484</v>
      </c>
      <c r="AY77">
        <v>1545180</v>
      </c>
      <c r="AZ77">
        <v>824</v>
      </c>
      <c r="BA77">
        <v>365</v>
      </c>
      <c r="BB77">
        <v>365</v>
      </c>
      <c r="BC77">
        <v>94</v>
      </c>
      <c r="BD77" s="6">
        <v>44468</v>
      </c>
      <c r="BE77" t="s">
        <v>321</v>
      </c>
      <c r="BF77">
        <v>1100000</v>
      </c>
      <c r="BG77">
        <v>1100000</v>
      </c>
      <c r="BH77" t="s">
        <v>198</v>
      </c>
      <c r="BI77">
        <v>30</v>
      </c>
      <c r="BJ77" t="s">
        <v>51</v>
      </c>
      <c r="BK77" t="s">
        <v>314</v>
      </c>
      <c r="BL77">
        <v>1113700</v>
      </c>
      <c r="BM77">
        <v>115000</v>
      </c>
      <c r="BN77">
        <v>998700</v>
      </c>
      <c r="BO77">
        <v>0</v>
      </c>
      <c r="BP77">
        <v>1.0124545454545455</v>
      </c>
      <c r="BQ77">
        <v>1200780.5643527214</v>
      </c>
      <c r="BR77">
        <v>1252789.0100513427</v>
      </c>
      <c r="BS77" s="7">
        <f>(BR77-BL77)/BL77</f>
        <v>0.12488911740266019</v>
      </c>
      <c r="BT77" s="14">
        <f>(Sales[[#This Row],[DP1]]*Lookups!$B$51)+(Sales[[#This Row],[DP2]]*Lookups!$B$52)+(Sales[[#This Row],[DP3]]*Lookups!$B$53)</f>
        <v>-52008.454710000005</v>
      </c>
      <c r="BU77" s="14">
        <f>Lookups!$B$48*0.5</f>
        <v>87214.824999999997</v>
      </c>
      <c r="BV77" s="14">
        <f>Lookups!$B$48*0.5</f>
        <v>87214.824999999997</v>
      </c>
      <c r="BW77" s="14">
        <f>Lookups!$B$49*Sales[[#This Row],[LnAcres]]</f>
        <v>-19984.927650753172</v>
      </c>
      <c r="BX77" s="14">
        <f>VLOOKUP(Sales[[#This Row],[Qlty]],Lookups!$A$54:$E$67,2,FALSE)</f>
        <v>370835.85488</v>
      </c>
      <c r="BY77" s="14">
        <f>VLOOKUP(Sales[[#This Row],[Cnd]],Lookups!$A$68:$E$76,2,FALSE)</f>
        <v>106557.38887</v>
      </c>
      <c r="BZ77" s="14">
        <f>Sales[[#This Row],[Age]]*Lookups!$B$77</f>
        <v>6273.4226199999994</v>
      </c>
      <c r="CA77" s="14">
        <f>Sales[[#This Row],[MainFn]]*Lookups!$B$78</f>
        <v>342515.78972200002</v>
      </c>
      <c r="CB77" s="14">
        <f>Sales[[#This Row],[UpprFn]]*Lookups!$B$79</f>
        <v>0</v>
      </c>
      <c r="CC77" s="14">
        <f>Sales[[#This Row],[AddFn]]*Lookups!$B$80</f>
        <v>0</v>
      </c>
      <c r="CD77" s="14">
        <f>Sales[[#This Row],[Bsmt]]*Lookups!$B$81</f>
        <v>0</v>
      </c>
      <c r="CE77" s="14">
        <f>Sales[[#This Row],[Fixtures]]*Lookups!$B$84</f>
        <v>203102</v>
      </c>
      <c r="CF77" s="14">
        <f>Sales[[#This Row],[MsnryFP]]*Lookups!$B$82</f>
        <v>25273.623</v>
      </c>
      <c r="CG77" s="14">
        <f>Sales[[#This Row],[PrefabFP]]*Lookups!$B$83</f>
        <v>0</v>
      </c>
      <c r="CH77" s="14">
        <f>Sales[[#This Row],[GarageArea]]*Lookups!$B$85</f>
        <v>43786.221407999998</v>
      </c>
      <c r="CI77" s="14">
        <f>SUM(Sales[[#This Row],[Days Prior Total]:[Mdl GarageArea]])</f>
        <v>1200780.5681392467</v>
      </c>
      <c r="CJ77" s="14">
        <f>ROUND(Sales[[#This Row],[25Det]],-2)</f>
        <v>0</v>
      </c>
      <c r="CK77" s="14">
        <f>ROUND(SUM(Sales[[#This Row],[Mdl Qlty]:[Mdl GarageArea]])+Sales[[#This Row],[Mdl Res Intercept]]+Sales[[#This Row],[Days Prior Total]],-2)</f>
        <v>1133600</v>
      </c>
      <c r="CL77" s="14">
        <f>ROUND(Sales[[#This Row],[Mdl Land Intercept]]+Sales[[#This Row],[Mdl LnAcres]],-2)</f>
        <v>67200</v>
      </c>
      <c r="CM77" s="14">
        <f>Sales[[#This Row],[Unadj Res Value]]+Sales[[#This Row],[Unadj Det Value]]+Sales[[#This Row],[Unadj Land Value]]</f>
        <v>1200800</v>
      </c>
      <c r="CN77" s="15">
        <f>Sales[[#This Row],[Unadj Total Value]]/Sales[[#This Row],[Price]]</f>
        <v>1.0916363636363637</v>
      </c>
      <c r="CO77" s="15">
        <f>(Sales[[#This Row],[Unadj Total Value]]-Sales[[#This Row],[24Final]])/Sales[[#This Row],[24Final]]</f>
        <v>7.8207775882194491E-2</v>
      </c>
      <c r="CP77">
        <f>VLOOKUP(Sales[[#This Row],[TNbhd]],Lookups!$M$2:$P$4,4,FALSE)</f>
        <v>0.97570000000000001</v>
      </c>
      <c r="CQ77">
        <f>VLOOKUP(Sales[[#This Row],[Qlty]],Lookups!$M$6:$P$20,4,FALSE)</f>
        <v>0.99470000000000003</v>
      </c>
      <c r="CR77">
        <f>VLOOKUP(Sales[[#This Row],[Cnd]],Lookups!$R$6:$U$15,4,FALSE)</f>
        <v>0.9748</v>
      </c>
      <c r="CS77">
        <f>VLOOKUP(Sales[[#This Row],[LivArea Range]],Lookups!$R$23:$U$39,4,FALSE)</f>
        <v>1.0048999999999999</v>
      </c>
      <c r="CT77">
        <f>VLOOKUP(Sales[[#This Row],[Decade]],Lookups!$M$23:$P$35,4,FALSE)</f>
        <v>0.91679999999999995</v>
      </c>
      <c r="CU77">
        <f>Sales[[#This Row],[Nbhd Adj]]*0.95</f>
        <v>0.92691499999999993</v>
      </c>
      <c r="CV77">
        <f>Sales[[#This Row],[Nbhd Adj]]*Sales[[#This Row],[Quality Adj]]*Sales[[#This Row],[Condition Adj]]*Sales[[#This Row],[Living Area Adj]]*Sales[[#This Row],[Decade Adj]]*0.95</f>
        <v>0.82802795568725063</v>
      </c>
      <c r="CW77">
        <f>ROUND(SUM(Sales[[#This Row],[Mdl Qlty]:[Mdl GarageArea]])+Sales[[#This Row],[Mdl Res Intercept]]*Sales[[#This Row],[Res Adj ]],-2)</f>
        <v>1170600</v>
      </c>
      <c r="CX77">
        <f>ROUND(Sales[[#This Row],[25Det]]*Sales[[#This Row],[Det/Nbhd Adj]],-2)</f>
        <v>0</v>
      </c>
      <c r="CY77">
        <f>Sales[[#This Row],[Adjusted Res]]+Sales[[#This Row],[Adj Det ]]</f>
        <v>1170600</v>
      </c>
      <c r="CZ77">
        <f>ROUND((Sales[[#This Row],[Mdl Land Intercept]]+Sales[[#This Row],[Mdl LnAcres]])*Sales[[#This Row],[Det/Nbhd Adj]],-2)</f>
        <v>62300</v>
      </c>
      <c r="DA77">
        <f>Sales[[#This Row],[Adjusted Impr Total]]+Sales[[#This Row],[Adjusted Land Total]]</f>
        <v>1232900</v>
      </c>
      <c r="DB77">
        <f>IFERROR((Sales[[#This Row],[Adjusted Impr Total]]-Sales[[#This Row],[24Bldg]])/Sales[[#This Row],[24Bldg]],0)</f>
        <v>0.1721237608891559</v>
      </c>
      <c r="DC77">
        <f>(Sales[[#This Row],[Adjusted Land Total]]-Sales[[#This Row],[24Lnd]])/Sales[[#This Row],[24Lnd]]</f>
        <v>-0.45826086956521739</v>
      </c>
      <c r="DD77">
        <f>(Sales[[#This Row],[Adjusted Total]]-Sales[[#This Row],[24Final]])/Sales[[#This Row],[24Final]]</f>
        <v>0.10703061865852563</v>
      </c>
      <c r="DE77">
        <f>(Sales[[#This Row],[Adjusted Total]]+Sales[[#This Row],[Days Prior Total]])/Sales[[#This Row],[Price]]</f>
        <v>1.0735377684454546</v>
      </c>
    </row>
    <row r="78" spans="1:109" x14ac:dyDescent="0.3">
      <c r="A78">
        <v>2025</v>
      </c>
      <c r="B78">
        <v>18131642439</v>
      </c>
      <c r="C78">
        <v>-0.79850769621777162</v>
      </c>
      <c r="D78">
        <v>0.45</v>
      </c>
      <c r="E78">
        <v>19792</v>
      </c>
      <c r="F78">
        <v>5</v>
      </c>
      <c r="G78" t="s">
        <v>89</v>
      </c>
      <c r="H78">
        <v>3041</v>
      </c>
      <c r="I78" t="s">
        <v>302</v>
      </c>
      <c r="J78" t="s">
        <v>26</v>
      </c>
      <c r="K78">
        <v>11</v>
      </c>
      <c r="L78">
        <v>331</v>
      </c>
      <c r="M78" t="s">
        <v>313</v>
      </c>
      <c r="N78" t="s">
        <v>206</v>
      </c>
      <c r="O78" t="s">
        <v>258</v>
      </c>
      <c r="P78">
        <v>1990</v>
      </c>
      <c r="Q78">
        <v>1990</v>
      </c>
      <c r="R78">
        <v>40</v>
      </c>
      <c r="S78">
        <v>34</v>
      </c>
      <c r="T78">
        <v>34</v>
      </c>
      <c r="U78">
        <v>1</v>
      </c>
      <c r="V78">
        <v>4967</v>
      </c>
      <c r="W78">
        <v>0</v>
      </c>
      <c r="X78">
        <v>0</v>
      </c>
      <c r="Y78">
        <v>0</v>
      </c>
      <c r="Z78">
        <v>0</v>
      </c>
      <c r="AA78">
        <v>0</v>
      </c>
      <c r="AB78">
        <v>4967</v>
      </c>
      <c r="AC78">
        <v>5000</v>
      </c>
      <c r="AD78">
        <v>3</v>
      </c>
      <c r="AE78" t="s">
        <v>5</v>
      </c>
      <c r="AF78" t="s">
        <v>275</v>
      </c>
      <c r="AG78" t="s">
        <v>111</v>
      </c>
      <c r="AH78" t="s">
        <v>314</v>
      </c>
      <c r="AI78">
        <v>0</v>
      </c>
      <c r="AJ78">
        <v>1</v>
      </c>
      <c r="AK78">
        <v>1</v>
      </c>
      <c r="AL78">
        <v>2</v>
      </c>
      <c r="AM78">
        <v>2</v>
      </c>
      <c r="AN78">
        <v>20</v>
      </c>
      <c r="AO78">
        <v>888</v>
      </c>
      <c r="AP78">
        <v>0</v>
      </c>
      <c r="AQ78">
        <v>888</v>
      </c>
      <c r="AR78">
        <v>0</v>
      </c>
      <c r="AS78">
        <v>88</v>
      </c>
      <c r="AT78">
        <v>722</v>
      </c>
      <c r="AU78">
        <v>0</v>
      </c>
      <c r="AV78">
        <v>100</v>
      </c>
      <c r="AW78">
        <v>100</v>
      </c>
      <c r="AX78">
        <v>1664470</v>
      </c>
      <c r="AY78">
        <v>998682</v>
      </c>
      <c r="AZ78">
        <v>28</v>
      </c>
      <c r="BA78">
        <v>28</v>
      </c>
      <c r="BB78">
        <v>0</v>
      </c>
      <c r="BC78">
        <v>0</v>
      </c>
      <c r="BD78" s="6">
        <v>45264</v>
      </c>
      <c r="BE78" t="s">
        <v>65</v>
      </c>
      <c r="BF78">
        <v>1200000</v>
      </c>
      <c r="BG78">
        <v>1200000</v>
      </c>
      <c r="BH78" t="s">
        <v>198</v>
      </c>
      <c r="BI78">
        <v>30</v>
      </c>
      <c r="BJ78" t="s">
        <v>51</v>
      </c>
      <c r="BK78" t="s">
        <v>314</v>
      </c>
      <c r="BL78">
        <v>1113700</v>
      </c>
      <c r="BM78">
        <v>115000</v>
      </c>
      <c r="BN78">
        <v>998700</v>
      </c>
      <c r="BO78">
        <v>0</v>
      </c>
      <c r="BP78">
        <v>0.92808333333333337</v>
      </c>
      <c r="BQ78">
        <v>1292289.5321223631</v>
      </c>
      <c r="BR78">
        <v>1296718.0670785876</v>
      </c>
      <c r="BS78" s="7">
        <f>(BR78-BL78)/BL78</f>
        <v>0.16433336363346288</v>
      </c>
      <c r="BT78" s="14">
        <f>(Sales[[#This Row],[DP1]]*Lookups!$B$51)+(Sales[[#This Row],[DP2]]*Lookups!$B$52)+(Sales[[#This Row],[DP3]]*Lookups!$B$53)</f>
        <v>-4428.5360000000001</v>
      </c>
      <c r="BU78" s="14">
        <f>Lookups!$B$48*0.5</f>
        <v>87214.824999999997</v>
      </c>
      <c r="BV78" s="14">
        <f>Lookups!$B$48*0.5</f>
        <v>87214.824999999997</v>
      </c>
      <c r="BW78" s="14">
        <f>Lookups!$B$49*Sales[[#This Row],[LnAcres]]</f>
        <v>-19984.927650753172</v>
      </c>
      <c r="BX78" s="14">
        <f>VLOOKUP(Sales[[#This Row],[Qlty]],Lookups!$A$54:$E$67,2,FALSE)</f>
        <v>370835.85488</v>
      </c>
      <c r="BY78" s="14">
        <f>VLOOKUP(Sales[[#This Row],[Cnd]],Lookups!$A$68:$E$76,2,FALSE)</f>
        <v>106557.38887</v>
      </c>
      <c r="BZ78" s="14">
        <f>Sales[[#This Row],[Age]]*Lookups!$B$77</f>
        <v>6273.4226199999994</v>
      </c>
      <c r="CA78" s="14">
        <f>Sales[[#This Row],[MainFn]]*Lookups!$B$78</f>
        <v>343137.54085300001</v>
      </c>
      <c r="CB78" s="14">
        <f>Sales[[#This Row],[UpprFn]]*Lookups!$B$79</f>
        <v>0</v>
      </c>
      <c r="CC78" s="14">
        <f>Sales[[#This Row],[AddFn]]*Lookups!$B$80</f>
        <v>0</v>
      </c>
      <c r="CD78" s="14">
        <f>Sales[[#This Row],[Bsmt]]*Lookups!$B$81</f>
        <v>0</v>
      </c>
      <c r="CE78" s="14">
        <f>Sales[[#This Row],[Fixtures]]*Lookups!$B$84</f>
        <v>203102</v>
      </c>
      <c r="CF78" s="14">
        <f>Sales[[#This Row],[MsnryFP]]*Lookups!$B$82</f>
        <v>25273.623</v>
      </c>
      <c r="CG78" s="14">
        <f>Sales[[#This Row],[PrefabFP]]*Lookups!$B$83</f>
        <v>42091.021999999997</v>
      </c>
      <c r="CH78" s="14">
        <f>Sales[[#This Row],[GarageArea]]*Lookups!$B$85</f>
        <v>45002.505336000002</v>
      </c>
      <c r="CI78" s="14">
        <f>SUM(Sales[[#This Row],[Days Prior Total]:[Mdl GarageArea]])</f>
        <v>1292289.5439082468</v>
      </c>
      <c r="CJ78" s="14">
        <f>ROUND(Sales[[#This Row],[25Det]],-2)</f>
        <v>0</v>
      </c>
      <c r="CK78" s="14">
        <f>ROUND(SUM(Sales[[#This Row],[Mdl Qlty]:[Mdl GarageArea]])+Sales[[#This Row],[Mdl Res Intercept]]+Sales[[#This Row],[Days Prior Total]],-2)</f>
        <v>1225100</v>
      </c>
      <c r="CL78" s="14">
        <f>ROUND(Sales[[#This Row],[Mdl Land Intercept]]+Sales[[#This Row],[Mdl LnAcres]],-2)</f>
        <v>67200</v>
      </c>
      <c r="CM78" s="14">
        <f>Sales[[#This Row],[Unadj Res Value]]+Sales[[#This Row],[Unadj Det Value]]+Sales[[#This Row],[Unadj Land Value]]</f>
        <v>1292300</v>
      </c>
      <c r="CN78" s="15">
        <f>Sales[[#This Row],[Unadj Total Value]]/Sales[[#This Row],[Price]]</f>
        <v>1.0769166666666667</v>
      </c>
      <c r="CO78" s="15">
        <f>(Sales[[#This Row],[Unadj Total Value]]-Sales[[#This Row],[24Final]])/Sales[[#This Row],[24Final]]</f>
        <v>0.16036634641285805</v>
      </c>
      <c r="CP78">
        <f>VLOOKUP(Sales[[#This Row],[TNbhd]],Lookups!$M$2:$P$4,4,FALSE)</f>
        <v>0.97570000000000001</v>
      </c>
      <c r="CQ78">
        <f>VLOOKUP(Sales[[#This Row],[Qlty]],Lookups!$M$6:$P$20,4,FALSE)</f>
        <v>0.99470000000000003</v>
      </c>
      <c r="CR78">
        <f>VLOOKUP(Sales[[#This Row],[Cnd]],Lookups!$R$6:$U$15,4,FALSE)</f>
        <v>0.9748</v>
      </c>
      <c r="CS78">
        <f>VLOOKUP(Sales[[#This Row],[LivArea Range]],Lookups!$R$23:$U$39,4,FALSE)</f>
        <v>1.0048999999999999</v>
      </c>
      <c r="CT78">
        <f>VLOOKUP(Sales[[#This Row],[Decade]],Lookups!$M$23:$P$35,4,FALSE)</f>
        <v>0.91679999999999995</v>
      </c>
      <c r="CU78">
        <f>Sales[[#This Row],[Nbhd Adj]]*0.95</f>
        <v>0.92691499999999993</v>
      </c>
      <c r="CV78">
        <f>Sales[[#This Row],[Nbhd Adj]]*Sales[[#This Row],[Quality Adj]]*Sales[[#This Row],[Condition Adj]]*Sales[[#This Row],[Living Area Adj]]*Sales[[#This Row],[Decade Adj]]*0.95</f>
        <v>0.82802795568725063</v>
      </c>
      <c r="CW78">
        <f>ROUND(SUM(Sales[[#This Row],[Mdl Qlty]:[Mdl GarageArea]])+Sales[[#This Row],[Mdl Res Intercept]]*Sales[[#This Row],[Res Adj ]],-2)</f>
        <v>1214500</v>
      </c>
      <c r="CX78">
        <f>ROUND(Sales[[#This Row],[25Det]]*Sales[[#This Row],[Det/Nbhd Adj]],-2)</f>
        <v>0</v>
      </c>
      <c r="CY78">
        <f>Sales[[#This Row],[Adjusted Res]]+Sales[[#This Row],[Adj Det ]]</f>
        <v>1214500</v>
      </c>
      <c r="CZ78">
        <f>ROUND((Sales[[#This Row],[Mdl Land Intercept]]+Sales[[#This Row],[Mdl LnAcres]])*Sales[[#This Row],[Det/Nbhd Adj]],-2)</f>
        <v>62300</v>
      </c>
      <c r="DA78">
        <f>Sales[[#This Row],[Adjusted Impr Total]]+Sales[[#This Row],[Adjusted Land Total]]</f>
        <v>1276800</v>
      </c>
      <c r="DB78">
        <f>IFERROR((Sales[[#This Row],[Adjusted Impr Total]]-Sales[[#This Row],[24Bldg]])/Sales[[#This Row],[24Bldg]],0)</f>
        <v>0.21608090517672976</v>
      </c>
      <c r="DC78">
        <f>(Sales[[#This Row],[Adjusted Land Total]]-Sales[[#This Row],[24Lnd]])/Sales[[#This Row],[24Lnd]]</f>
        <v>-0.45826086956521739</v>
      </c>
      <c r="DD78">
        <f>(Sales[[#This Row],[Adjusted Total]]-Sales[[#This Row],[24Final]])/Sales[[#This Row],[24Final]]</f>
        <v>0.1464487743557511</v>
      </c>
      <c r="DE78">
        <f>(Sales[[#This Row],[Adjusted Total]]+Sales[[#This Row],[Days Prior Total]])/Sales[[#This Row],[Price]]</f>
        <v>1.0603095533333333</v>
      </c>
    </row>
    <row r="79" spans="1:109" x14ac:dyDescent="0.3">
      <c r="A79">
        <v>2025</v>
      </c>
      <c r="B79">
        <v>18131524470</v>
      </c>
      <c r="C79">
        <v>-0.82098055206983023</v>
      </c>
      <c r="D79">
        <v>0.44</v>
      </c>
      <c r="E79">
        <v>19139</v>
      </c>
      <c r="F79">
        <v>5</v>
      </c>
      <c r="G79" t="s">
        <v>89</v>
      </c>
      <c r="H79">
        <v>3041</v>
      </c>
      <c r="I79" t="s">
        <v>302</v>
      </c>
      <c r="J79" t="s">
        <v>26</v>
      </c>
      <c r="K79">
        <v>11</v>
      </c>
      <c r="L79">
        <v>259</v>
      </c>
      <c r="M79" t="s">
        <v>313</v>
      </c>
      <c r="N79" t="s">
        <v>189</v>
      </c>
      <c r="O79" t="s">
        <v>207</v>
      </c>
      <c r="P79">
        <v>1990</v>
      </c>
      <c r="Q79">
        <v>1990</v>
      </c>
      <c r="R79">
        <v>40</v>
      </c>
      <c r="S79">
        <v>34</v>
      </c>
      <c r="T79">
        <v>34</v>
      </c>
      <c r="U79">
        <v>2</v>
      </c>
      <c r="V79">
        <v>2057</v>
      </c>
      <c r="W79">
        <v>611</v>
      </c>
      <c r="X79">
        <v>0</v>
      </c>
      <c r="Y79">
        <v>1982</v>
      </c>
      <c r="Z79">
        <v>1982</v>
      </c>
      <c r="AA79">
        <v>0</v>
      </c>
      <c r="AB79">
        <v>4650</v>
      </c>
      <c r="AC79">
        <v>5000</v>
      </c>
      <c r="AD79">
        <v>3</v>
      </c>
      <c r="AE79" t="s">
        <v>5</v>
      </c>
      <c r="AF79" t="s">
        <v>153</v>
      </c>
      <c r="AG79" t="s">
        <v>274</v>
      </c>
      <c r="AI79">
        <v>0</v>
      </c>
      <c r="AJ79">
        <v>1</v>
      </c>
      <c r="AK79">
        <v>0</v>
      </c>
      <c r="AL79">
        <v>0</v>
      </c>
      <c r="AM79">
        <v>0</v>
      </c>
      <c r="AN79">
        <v>16</v>
      </c>
      <c r="AO79">
        <v>750</v>
      </c>
      <c r="AP79">
        <v>0</v>
      </c>
      <c r="AQ79">
        <v>750</v>
      </c>
      <c r="AR79">
        <v>0</v>
      </c>
      <c r="AS79">
        <v>441</v>
      </c>
      <c r="AT79">
        <v>320</v>
      </c>
      <c r="AU79">
        <v>0</v>
      </c>
      <c r="AV79">
        <v>100</v>
      </c>
      <c r="AW79">
        <v>100</v>
      </c>
      <c r="AX79">
        <v>965801</v>
      </c>
      <c r="AY79">
        <v>888537</v>
      </c>
      <c r="AZ79">
        <v>378</v>
      </c>
      <c r="BA79">
        <v>365</v>
      </c>
      <c r="BB79">
        <v>13</v>
      </c>
      <c r="BC79">
        <v>0</v>
      </c>
      <c r="BD79" s="6">
        <v>44914</v>
      </c>
      <c r="BE79" t="s">
        <v>96</v>
      </c>
      <c r="BF79">
        <v>777000</v>
      </c>
      <c r="BG79">
        <v>715819</v>
      </c>
      <c r="BH79" t="s">
        <v>198</v>
      </c>
      <c r="BI79">
        <v>30</v>
      </c>
      <c r="BJ79" t="s">
        <v>51</v>
      </c>
      <c r="BK79" t="s">
        <v>314</v>
      </c>
      <c r="BL79">
        <v>710700</v>
      </c>
      <c r="BM79">
        <v>113900</v>
      </c>
      <c r="BN79">
        <v>596800</v>
      </c>
      <c r="BO79">
        <v>61181</v>
      </c>
      <c r="BP79">
        <v>0.91467181467181469</v>
      </c>
      <c r="BQ79">
        <v>754616.11218929873</v>
      </c>
      <c r="BR79">
        <v>811108.34948714869</v>
      </c>
      <c r="BS79" s="7">
        <f>(BR79-BL79)/BL79</f>
        <v>0.14128091949788757</v>
      </c>
      <c r="BT79" s="14">
        <f>(Sales[[#This Row],[DP1]]*Lookups!$B$51)+(Sales[[#This Row],[DP2]]*Lookups!$B$52)+(Sales[[#This Row],[DP3]]*Lookups!$B$53)</f>
        <v>-56492.250902000007</v>
      </c>
      <c r="BU79" s="14">
        <f>Lookups!$B$48*0.5</f>
        <v>87214.824999999997</v>
      </c>
      <c r="BV79" s="14">
        <f>Lookups!$B$48*0.5</f>
        <v>87214.824999999997</v>
      </c>
      <c r="BW79" s="14">
        <f>Lookups!$B$49*Sales[[#This Row],[LnAcres]]</f>
        <v>-20547.374826198695</v>
      </c>
      <c r="BX79" s="14">
        <f>VLOOKUP(Sales[[#This Row],[Qlty]],Lookups!$A$54:$E$67,2,FALSE)</f>
        <v>141724.10243</v>
      </c>
      <c r="BY79" s="14">
        <f>VLOOKUP(Sales[[#This Row],[Cnd]],Lookups!$A$68:$E$76,2,FALSE)</f>
        <v>47273.897095</v>
      </c>
      <c r="BZ79" s="14">
        <f>Sales[[#This Row],[Age]]*Lookups!$B$77</f>
        <v>6273.4226199999994</v>
      </c>
      <c r="CA79" s="14">
        <f>Sales[[#This Row],[MainFn]]*Lookups!$B$78</f>
        <v>142104.67516300001</v>
      </c>
      <c r="CB79" s="14">
        <f>Sales[[#This Row],[UpprFn]]*Lookups!$B$79</f>
        <v>37383.530924999999</v>
      </c>
      <c r="CC79" s="14">
        <f>Sales[[#This Row],[AddFn]]*Lookups!$B$80</f>
        <v>0</v>
      </c>
      <c r="CD79" s="14">
        <f>Sales[[#This Row],[Bsmt]]*Lookups!$B$81</f>
        <v>56702.360155999995</v>
      </c>
      <c r="CE79" s="14">
        <f>Sales[[#This Row],[Fixtures]]*Lookups!$B$84</f>
        <v>162481.60000000001</v>
      </c>
      <c r="CF79" s="14">
        <f>Sales[[#This Row],[MsnryFP]]*Lookups!$B$82</f>
        <v>25273.623</v>
      </c>
      <c r="CG79" s="14">
        <f>Sales[[#This Row],[PrefabFP]]*Lookups!$B$83</f>
        <v>0</v>
      </c>
      <c r="CH79" s="14">
        <f>Sales[[#This Row],[GarageArea]]*Lookups!$B$85</f>
        <v>38008.872750000002</v>
      </c>
      <c r="CI79" s="14">
        <f>SUM(Sales[[#This Row],[Days Prior Total]:[Mdl GarageArea]])</f>
        <v>754616.10841080139</v>
      </c>
      <c r="CJ79" s="14">
        <f>ROUND(Sales[[#This Row],[25Det]],-2)</f>
        <v>61200</v>
      </c>
      <c r="CK79" s="14">
        <f>ROUND(SUM(Sales[[#This Row],[Mdl Qlty]:[Mdl GarageArea]])+Sales[[#This Row],[Mdl Res Intercept]]+Sales[[#This Row],[Days Prior Total]],-2)</f>
        <v>687900</v>
      </c>
      <c r="CL79" s="14">
        <f>ROUND(Sales[[#This Row],[Mdl Land Intercept]]+Sales[[#This Row],[Mdl LnAcres]],-2)</f>
        <v>66700</v>
      </c>
      <c r="CM79" s="14">
        <f>Sales[[#This Row],[Unadj Res Value]]+Sales[[#This Row],[Unadj Det Value]]+Sales[[#This Row],[Unadj Land Value]]</f>
        <v>815800</v>
      </c>
      <c r="CN79" s="15">
        <f>Sales[[#This Row],[Unadj Total Value]]/Sales[[#This Row],[Price]]</f>
        <v>1.04993564993565</v>
      </c>
      <c r="CO79" s="15">
        <f>(Sales[[#This Row],[Unadj Total Value]]-Sales[[#This Row],[24Final]])/Sales[[#This Row],[24Final]]</f>
        <v>0.14788236949486422</v>
      </c>
      <c r="CP79">
        <f>VLOOKUP(Sales[[#This Row],[TNbhd]],Lookups!$M$2:$P$4,4,FALSE)</f>
        <v>0.97570000000000001</v>
      </c>
      <c r="CQ79">
        <f>VLOOKUP(Sales[[#This Row],[Qlty]],Lookups!$M$6:$P$20,4,FALSE)</f>
        <v>1.0051000000000001</v>
      </c>
      <c r="CR79">
        <f>VLOOKUP(Sales[[#This Row],[Cnd]],Lookups!$R$6:$U$15,4,FALSE)</f>
        <v>0.97829999999999995</v>
      </c>
      <c r="CS79">
        <f>VLOOKUP(Sales[[#This Row],[LivArea Range]],Lookups!$R$23:$U$39,4,FALSE)</f>
        <v>1.0048999999999999</v>
      </c>
      <c r="CT79">
        <f>VLOOKUP(Sales[[#This Row],[Decade]],Lookups!$M$23:$P$35,4,FALSE)</f>
        <v>0.91679999999999995</v>
      </c>
      <c r="CU79">
        <f>Sales[[#This Row],[Nbhd Adj]]*0.95</f>
        <v>0.92691499999999993</v>
      </c>
      <c r="CV79">
        <f>Sales[[#This Row],[Nbhd Adj]]*Sales[[#This Row],[Quality Adj]]*Sales[[#This Row],[Condition Adj]]*Sales[[#This Row],[Living Area Adj]]*Sales[[#This Row],[Decade Adj]]*0.95</f>
        <v>0.83968943254087269</v>
      </c>
      <c r="CW79">
        <f>ROUND(SUM(Sales[[#This Row],[Mdl Qlty]:[Mdl GarageArea]])+Sales[[#This Row],[Mdl Res Intercept]]*Sales[[#This Row],[Res Adj ]],-2)</f>
        <v>730500</v>
      </c>
      <c r="CX79">
        <f>ROUND(Sales[[#This Row],[25Det]]*Sales[[#This Row],[Det/Nbhd Adj]],-2)</f>
        <v>56700</v>
      </c>
      <c r="CY79">
        <f>Sales[[#This Row],[Adjusted Res]]+Sales[[#This Row],[Adj Det ]]</f>
        <v>787200</v>
      </c>
      <c r="CZ79">
        <f>ROUND((Sales[[#This Row],[Mdl Land Intercept]]+Sales[[#This Row],[Mdl LnAcres]])*Sales[[#This Row],[Det/Nbhd Adj]],-2)</f>
        <v>61800</v>
      </c>
      <c r="DA79">
        <f>Sales[[#This Row],[Adjusted Impr Total]]+Sales[[#This Row],[Adjusted Land Total]]</f>
        <v>849000</v>
      </c>
      <c r="DB79">
        <f>IFERROR((Sales[[#This Row],[Adjusted Impr Total]]-Sales[[#This Row],[24Bldg]])/Sales[[#This Row],[24Bldg]],0)</f>
        <v>0.31903485254691688</v>
      </c>
      <c r="DC79">
        <f>(Sales[[#This Row],[Adjusted Land Total]]-Sales[[#This Row],[24Lnd]])/Sales[[#This Row],[24Lnd]]</f>
        <v>-0.45741878841088673</v>
      </c>
      <c r="DD79">
        <f>(Sales[[#This Row],[Adjusted Total]]-Sales[[#This Row],[24Final]])/Sales[[#This Row],[24Final]]</f>
        <v>0.19459687631912198</v>
      </c>
      <c r="DE79">
        <f>(Sales[[#This Row],[Adjusted Total]]+Sales[[#This Row],[Days Prior Total]])/Sales[[#This Row],[Price]]</f>
        <v>1.0199584930476191</v>
      </c>
    </row>
    <row r="80" spans="1:109" x14ac:dyDescent="0.3">
      <c r="A80">
        <v>2025</v>
      </c>
      <c r="B80">
        <v>18131533471</v>
      </c>
      <c r="C80">
        <v>-1.8971199848858813</v>
      </c>
      <c r="D80">
        <v>0.15</v>
      </c>
      <c r="E80">
        <v>6624</v>
      </c>
      <c r="F80">
        <v>5</v>
      </c>
      <c r="G80" t="s">
        <v>89</v>
      </c>
      <c r="H80">
        <v>3042</v>
      </c>
      <c r="I80" t="s">
        <v>302</v>
      </c>
      <c r="J80" t="s">
        <v>109</v>
      </c>
      <c r="K80">
        <v>11</v>
      </c>
      <c r="L80">
        <v>259</v>
      </c>
      <c r="M80" t="s">
        <v>131</v>
      </c>
      <c r="N80" t="s">
        <v>75</v>
      </c>
      <c r="O80" t="s">
        <v>207</v>
      </c>
      <c r="P80">
        <v>1989</v>
      </c>
      <c r="Q80">
        <v>1989</v>
      </c>
      <c r="R80">
        <v>40</v>
      </c>
      <c r="S80">
        <v>35</v>
      </c>
      <c r="T80">
        <v>35</v>
      </c>
      <c r="U80">
        <v>2</v>
      </c>
      <c r="V80">
        <v>1208</v>
      </c>
      <c r="W80">
        <v>1224</v>
      </c>
      <c r="X80">
        <v>0</v>
      </c>
      <c r="Y80">
        <v>0</v>
      </c>
      <c r="Z80">
        <v>0</v>
      </c>
      <c r="AA80">
        <v>0</v>
      </c>
      <c r="AB80">
        <v>2432</v>
      </c>
      <c r="AC80">
        <v>2500</v>
      </c>
      <c r="AD80">
        <v>2</v>
      </c>
      <c r="AE80" t="s">
        <v>5</v>
      </c>
      <c r="AF80" t="s">
        <v>153</v>
      </c>
      <c r="AG80" t="s">
        <v>274</v>
      </c>
      <c r="AH80" t="s">
        <v>51</v>
      </c>
      <c r="AI80">
        <v>0</v>
      </c>
      <c r="AJ80">
        <v>0</v>
      </c>
      <c r="AK80">
        <v>1</v>
      </c>
      <c r="AL80">
        <v>0</v>
      </c>
      <c r="AM80">
        <v>1</v>
      </c>
      <c r="AN80">
        <v>12</v>
      </c>
      <c r="AO80">
        <v>0</v>
      </c>
      <c r="AP80">
        <v>440</v>
      </c>
      <c r="AQ80">
        <v>440</v>
      </c>
      <c r="AR80">
        <v>0</v>
      </c>
      <c r="AS80">
        <v>0</v>
      </c>
      <c r="AT80">
        <v>498</v>
      </c>
      <c r="AU80">
        <v>0</v>
      </c>
      <c r="AV80">
        <v>100</v>
      </c>
      <c r="AW80">
        <v>100</v>
      </c>
      <c r="AX80">
        <v>473243</v>
      </c>
      <c r="AY80">
        <v>425919</v>
      </c>
      <c r="AZ80">
        <v>550</v>
      </c>
      <c r="BA80">
        <v>365</v>
      </c>
      <c r="BB80">
        <v>185</v>
      </c>
      <c r="BC80">
        <v>0</v>
      </c>
      <c r="BD80" s="6">
        <v>44742</v>
      </c>
      <c r="BE80" t="s">
        <v>193</v>
      </c>
      <c r="BF80">
        <v>537000</v>
      </c>
      <c r="BG80">
        <v>537000</v>
      </c>
      <c r="BH80" t="s">
        <v>198</v>
      </c>
      <c r="BI80">
        <v>30</v>
      </c>
      <c r="BJ80" t="s">
        <v>51</v>
      </c>
      <c r="BK80" t="s">
        <v>314</v>
      </c>
      <c r="BL80">
        <v>487800</v>
      </c>
      <c r="BM80">
        <v>52800</v>
      </c>
      <c r="BN80">
        <v>435000</v>
      </c>
      <c r="BO80">
        <v>0</v>
      </c>
      <c r="BP80">
        <v>0.90837988826815641</v>
      </c>
      <c r="BQ80">
        <v>504335.73063177324</v>
      </c>
      <c r="BR80">
        <v>544463.1060468636</v>
      </c>
      <c r="BS80" s="7">
        <f>(BR80-BL80)/BL80</f>
        <v>0.1161605290013604</v>
      </c>
      <c r="BT80" s="14">
        <f>(Sales[[#This Row],[DP1]]*Lookups!$B$51)+(Sales[[#This Row],[DP2]]*Lookups!$B$52)+(Sales[[#This Row],[DP3]]*Lookups!$B$53)</f>
        <v>-40127.388990000007</v>
      </c>
      <c r="BU80" s="14">
        <f>Lookups!$B$48*0.5</f>
        <v>87214.824999999997</v>
      </c>
      <c r="BV80" s="14">
        <f>Lookups!$B$48*0.5</f>
        <v>87214.824999999997</v>
      </c>
      <c r="BW80" s="14">
        <f>Lookups!$B$49*Sales[[#This Row],[LnAcres]]</f>
        <v>-47480.826825246164</v>
      </c>
      <c r="BX80" s="14">
        <f>VLOOKUP(Sales[[#This Row],[Qlty]],Lookups!$A$54:$E$67,2,FALSE)</f>
        <v>19189.450408000001</v>
      </c>
      <c r="BY80" s="14">
        <f>VLOOKUP(Sales[[#This Row],[Cnd]],Lookups!$A$68:$E$76,2,FALSE)</f>
        <v>47273.897095</v>
      </c>
      <c r="BZ80" s="14">
        <f>Sales[[#This Row],[Age]]*Lookups!$B$77</f>
        <v>6457.93505</v>
      </c>
      <c r="CA80" s="14">
        <f>Sales[[#This Row],[MainFn]]*Lookups!$B$78</f>
        <v>83452.818471999999</v>
      </c>
      <c r="CB80" s="14">
        <f>Sales[[#This Row],[UpprFn]]*Lookups!$B$79</f>
        <v>74889.430200000003</v>
      </c>
      <c r="CC80" s="14">
        <f>Sales[[#This Row],[AddFn]]*Lookups!$B$80</f>
        <v>0</v>
      </c>
      <c r="CD80" s="14">
        <f>Sales[[#This Row],[Bsmt]]*Lookups!$B$81</f>
        <v>0</v>
      </c>
      <c r="CE80" s="14">
        <f>Sales[[#This Row],[Fixtures]]*Lookups!$B$84</f>
        <v>121861.20000000001</v>
      </c>
      <c r="CF80" s="14">
        <f>Sales[[#This Row],[MsnryFP]]*Lookups!$B$82</f>
        <v>0</v>
      </c>
      <c r="CG80" s="14">
        <f>Sales[[#This Row],[PrefabFP]]*Lookups!$B$83</f>
        <v>42091.021999999997</v>
      </c>
      <c r="CH80" s="14">
        <f>Sales[[#This Row],[GarageArea]]*Lookups!$B$85</f>
        <v>22298.538680000001</v>
      </c>
      <c r="CI80" s="14">
        <f>SUM(Sales[[#This Row],[Days Prior Total]:[Mdl GarageArea]])</f>
        <v>504335.72608975385</v>
      </c>
      <c r="CJ80" s="14">
        <f>ROUND(Sales[[#This Row],[25Det]],-2)</f>
        <v>0</v>
      </c>
      <c r="CK80" s="14">
        <f>ROUND(SUM(Sales[[#This Row],[Mdl Qlty]:[Mdl GarageArea]])+Sales[[#This Row],[Mdl Res Intercept]]+Sales[[#This Row],[Days Prior Total]],-2)</f>
        <v>464600</v>
      </c>
      <c r="CL80" s="14">
        <f>ROUND(Sales[[#This Row],[Mdl Land Intercept]]+Sales[[#This Row],[Mdl LnAcres]],-2)</f>
        <v>39700</v>
      </c>
      <c r="CM80" s="14">
        <f>Sales[[#This Row],[Unadj Res Value]]+Sales[[#This Row],[Unadj Det Value]]+Sales[[#This Row],[Unadj Land Value]]</f>
        <v>504300</v>
      </c>
      <c r="CN80" s="15">
        <f>Sales[[#This Row],[Unadj Total Value]]/Sales[[#This Row],[Price]]</f>
        <v>0.93910614525139668</v>
      </c>
      <c r="CO80" s="15">
        <f>(Sales[[#This Row],[Unadj Total Value]]-Sales[[#This Row],[24Final]])/Sales[[#This Row],[24Final]]</f>
        <v>3.3825338253382534E-2</v>
      </c>
      <c r="CP80">
        <f>VLOOKUP(Sales[[#This Row],[TNbhd]],Lookups!$M$2:$P$4,4,FALSE)</f>
        <v>0.97570000000000001</v>
      </c>
      <c r="CQ80">
        <f>VLOOKUP(Sales[[#This Row],[Qlty]],Lookups!$M$6:$P$20,4,FALSE)</f>
        <v>0.9819</v>
      </c>
      <c r="CR80">
        <f>VLOOKUP(Sales[[#This Row],[Cnd]],Lookups!$R$6:$U$15,4,FALSE)</f>
        <v>0.97829999999999995</v>
      </c>
      <c r="CS80">
        <f>VLOOKUP(Sales[[#This Row],[LivArea Range]],Lookups!$R$23:$U$39,4,FALSE)</f>
        <v>0.93440000000000001</v>
      </c>
      <c r="CT80">
        <f>VLOOKUP(Sales[[#This Row],[Decade]],Lookups!$M$23:$P$35,4,FALSE)</f>
        <v>0.91679999999999995</v>
      </c>
      <c r="CU80">
        <f>Sales[[#This Row],[Nbhd Adj]]*0.95</f>
        <v>0.92691499999999993</v>
      </c>
      <c r="CV80">
        <f>Sales[[#This Row],[Nbhd Adj]]*Sales[[#This Row],[Quality Adj]]*Sales[[#This Row],[Condition Adj]]*Sales[[#This Row],[Living Area Adj]]*Sales[[#This Row],[Decade Adj]]*0.95</f>
        <v>0.76275780135085913</v>
      </c>
      <c r="CW80">
        <f>ROUND(SUM(Sales[[#This Row],[Mdl Qlty]:[Mdl GarageArea]])+Sales[[#This Row],[Mdl Res Intercept]]*Sales[[#This Row],[Res Adj ]],-2)</f>
        <v>484000</v>
      </c>
      <c r="CX80">
        <f>ROUND(Sales[[#This Row],[25Det]]*Sales[[#This Row],[Det/Nbhd Adj]],-2)</f>
        <v>0</v>
      </c>
      <c r="CY80">
        <f>Sales[[#This Row],[Adjusted Res]]+Sales[[#This Row],[Adj Det ]]</f>
        <v>484000</v>
      </c>
      <c r="CZ80">
        <f>ROUND((Sales[[#This Row],[Mdl Land Intercept]]+Sales[[#This Row],[Mdl LnAcres]])*Sales[[#This Row],[Det/Nbhd Adj]],-2)</f>
        <v>36800</v>
      </c>
      <c r="DA80">
        <f>Sales[[#This Row],[Adjusted Impr Total]]+Sales[[#This Row],[Adjusted Land Total]]</f>
        <v>520800</v>
      </c>
      <c r="DB80">
        <f>IFERROR((Sales[[#This Row],[Adjusted Impr Total]]-Sales[[#This Row],[24Bldg]])/Sales[[#This Row],[24Bldg]],0)</f>
        <v>0.11264367816091954</v>
      </c>
      <c r="DC80">
        <f>(Sales[[#This Row],[Adjusted Land Total]]-Sales[[#This Row],[24Lnd]])/Sales[[#This Row],[24Lnd]]</f>
        <v>-0.30303030303030304</v>
      </c>
      <c r="DD80">
        <f>(Sales[[#This Row],[Adjusted Total]]-Sales[[#This Row],[24Final]])/Sales[[#This Row],[24Final]]</f>
        <v>6.7650676506765067E-2</v>
      </c>
      <c r="DE80">
        <f>(Sales[[#This Row],[Adjusted Total]]+Sales[[#This Row],[Days Prior Total]])/Sales[[#This Row],[Price]]</f>
        <v>0.89510728307262566</v>
      </c>
    </row>
    <row r="81" spans="1:109" x14ac:dyDescent="0.3">
      <c r="A81">
        <v>2025</v>
      </c>
      <c r="B81">
        <v>18131533461</v>
      </c>
      <c r="C81">
        <v>-2.3025850929940455</v>
      </c>
      <c r="D81">
        <v>0.1</v>
      </c>
      <c r="E81">
        <v>4239</v>
      </c>
      <c r="F81">
        <v>5</v>
      </c>
      <c r="G81" t="s">
        <v>89</v>
      </c>
      <c r="H81">
        <v>3042</v>
      </c>
      <c r="I81" t="s">
        <v>302</v>
      </c>
      <c r="J81" t="s">
        <v>109</v>
      </c>
      <c r="K81">
        <v>11</v>
      </c>
      <c r="L81">
        <v>259</v>
      </c>
      <c r="M81" t="s">
        <v>131</v>
      </c>
      <c r="N81" t="s">
        <v>50</v>
      </c>
      <c r="O81" t="s">
        <v>207</v>
      </c>
      <c r="P81">
        <v>1989</v>
      </c>
      <c r="Q81">
        <v>1989</v>
      </c>
      <c r="R81">
        <v>40</v>
      </c>
      <c r="S81">
        <v>35</v>
      </c>
      <c r="T81">
        <v>35</v>
      </c>
      <c r="U81">
        <v>2</v>
      </c>
      <c r="V81">
        <v>1160</v>
      </c>
      <c r="W81">
        <v>1396</v>
      </c>
      <c r="X81">
        <v>0</v>
      </c>
      <c r="Y81">
        <v>0</v>
      </c>
      <c r="Z81">
        <v>0</v>
      </c>
      <c r="AA81">
        <v>0</v>
      </c>
      <c r="AB81">
        <v>2556</v>
      </c>
      <c r="AC81">
        <v>3000</v>
      </c>
      <c r="AD81">
        <v>2</v>
      </c>
      <c r="AF81" t="s">
        <v>275</v>
      </c>
      <c r="AG81" t="s">
        <v>111</v>
      </c>
      <c r="AH81" t="s">
        <v>314</v>
      </c>
      <c r="AI81">
        <v>0</v>
      </c>
      <c r="AJ81">
        <v>1</v>
      </c>
      <c r="AK81">
        <v>0</v>
      </c>
      <c r="AL81">
        <v>0</v>
      </c>
      <c r="AM81">
        <v>1</v>
      </c>
      <c r="AN81">
        <v>12</v>
      </c>
      <c r="AO81">
        <v>0</v>
      </c>
      <c r="AP81">
        <v>418</v>
      </c>
      <c r="AQ81">
        <v>418</v>
      </c>
      <c r="AR81">
        <v>0</v>
      </c>
      <c r="AS81">
        <v>0</v>
      </c>
      <c r="AT81">
        <v>538</v>
      </c>
      <c r="AU81">
        <v>0</v>
      </c>
      <c r="AV81">
        <v>100</v>
      </c>
      <c r="AW81">
        <v>100</v>
      </c>
      <c r="AX81">
        <v>577879</v>
      </c>
      <c r="AY81">
        <v>525870</v>
      </c>
      <c r="AZ81">
        <v>733</v>
      </c>
      <c r="BA81">
        <v>365</v>
      </c>
      <c r="BB81">
        <v>365</v>
      </c>
      <c r="BC81">
        <v>3</v>
      </c>
      <c r="BD81" s="6">
        <v>44559</v>
      </c>
      <c r="BE81" t="s">
        <v>62</v>
      </c>
      <c r="BF81">
        <v>450000</v>
      </c>
      <c r="BG81">
        <v>450000</v>
      </c>
      <c r="BH81" t="s">
        <v>198</v>
      </c>
      <c r="BI81">
        <v>30</v>
      </c>
      <c r="BJ81" t="s">
        <v>51</v>
      </c>
      <c r="BK81" t="s">
        <v>314</v>
      </c>
      <c r="BL81">
        <v>478600</v>
      </c>
      <c r="BM81">
        <v>29700</v>
      </c>
      <c r="BN81">
        <v>448900</v>
      </c>
      <c r="BO81">
        <v>0</v>
      </c>
      <c r="BP81">
        <v>1.0635555555555556</v>
      </c>
      <c r="BQ81">
        <v>527196.49330040254</v>
      </c>
      <c r="BR81">
        <v>551123.60861076124</v>
      </c>
      <c r="BS81" s="7">
        <f>(BR81-BL81)/BL81</f>
        <v>0.1515328220032621</v>
      </c>
      <c r="BT81" s="14">
        <f>(Sales[[#This Row],[DP1]]*Lookups!$B$51)+(Sales[[#This Row],[DP2]]*Lookups!$B$52)+(Sales[[#This Row],[DP3]]*Lookups!$B$53)</f>
        <v>-23927.128710000005</v>
      </c>
      <c r="BU81" s="14">
        <f>Lookups!$B$48*0.5</f>
        <v>87214.824999999997</v>
      </c>
      <c r="BV81" s="14">
        <f>Lookups!$B$48*0.5</f>
        <v>87214.824999999997</v>
      </c>
      <c r="BW81" s="14">
        <f>Lookups!$B$49*Sales[[#This Row],[LnAcres]]</f>
        <v>-57628.745109350653</v>
      </c>
      <c r="BX81" s="14">
        <f>VLOOKUP(Sales[[#This Row],[Qlty]],Lookups!$A$54:$E$67,2,FALSE)</f>
        <v>46722.525125</v>
      </c>
      <c r="BY81" s="14">
        <f>VLOOKUP(Sales[[#This Row],[Cnd]],Lookups!$A$68:$E$76,2,FALSE)</f>
        <v>47273.897095</v>
      </c>
      <c r="BZ81" s="14">
        <f>Sales[[#This Row],[Age]]*Lookups!$B$77</f>
        <v>6457.93505</v>
      </c>
      <c r="CA81" s="14">
        <f>Sales[[#This Row],[MainFn]]*Lookups!$B$78</f>
        <v>80136.812440000009</v>
      </c>
      <c r="CB81" s="14">
        <f>Sales[[#This Row],[UpprFn]]*Lookups!$B$79</f>
        <v>85413.108300000007</v>
      </c>
      <c r="CC81" s="14">
        <f>Sales[[#This Row],[AddFn]]*Lookups!$B$80</f>
        <v>0</v>
      </c>
      <c r="CD81" s="14">
        <f>Sales[[#This Row],[Bsmt]]*Lookups!$B$81</f>
        <v>0</v>
      </c>
      <c r="CE81" s="14">
        <f>Sales[[#This Row],[Fixtures]]*Lookups!$B$84</f>
        <v>121861.20000000001</v>
      </c>
      <c r="CF81" s="14">
        <f>Sales[[#This Row],[MsnryFP]]*Lookups!$B$82</f>
        <v>25273.623</v>
      </c>
      <c r="CG81" s="14">
        <f>Sales[[#This Row],[PrefabFP]]*Lookups!$B$83</f>
        <v>0</v>
      </c>
      <c r="CH81" s="14">
        <f>Sales[[#This Row],[GarageArea]]*Lookups!$B$85</f>
        <v>21183.611745999999</v>
      </c>
      <c r="CI81" s="14">
        <f>SUM(Sales[[#This Row],[Days Prior Total]:[Mdl GarageArea]])</f>
        <v>527196.4889366494</v>
      </c>
      <c r="CJ81" s="14">
        <f>ROUND(Sales[[#This Row],[25Det]],-2)</f>
        <v>0</v>
      </c>
      <c r="CK81" s="14">
        <f>ROUND(SUM(Sales[[#This Row],[Mdl Qlty]:[Mdl GarageArea]])+Sales[[#This Row],[Mdl Res Intercept]]+Sales[[#This Row],[Days Prior Total]],-2)</f>
        <v>497600</v>
      </c>
      <c r="CL81" s="14">
        <f>ROUND(Sales[[#This Row],[Mdl Land Intercept]]+Sales[[#This Row],[Mdl LnAcres]],-2)</f>
        <v>29600</v>
      </c>
      <c r="CM81" s="14">
        <f>Sales[[#This Row],[Unadj Res Value]]+Sales[[#This Row],[Unadj Det Value]]+Sales[[#This Row],[Unadj Land Value]]</f>
        <v>527200</v>
      </c>
      <c r="CN81" s="15">
        <f>Sales[[#This Row],[Unadj Total Value]]/Sales[[#This Row],[Price]]</f>
        <v>1.1715555555555555</v>
      </c>
      <c r="CO81" s="15">
        <f>(Sales[[#This Row],[Unadj Total Value]]-Sales[[#This Row],[24Final]])/Sales[[#This Row],[24Final]]</f>
        <v>0.10154617634768073</v>
      </c>
      <c r="CP81">
        <f>VLOOKUP(Sales[[#This Row],[TNbhd]],Lookups!$M$2:$P$4,4,FALSE)</f>
        <v>0.97570000000000001</v>
      </c>
      <c r="CQ81">
        <f>VLOOKUP(Sales[[#This Row],[Qlty]],Lookups!$M$6:$P$20,4,FALSE)</f>
        <v>0.98329999999999995</v>
      </c>
      <c r="CR81">
        <f>VLOOKUP(Sales[[#This Row],[Cnd]],Lookups!$R$6:$U$15,4,FALSE)</f>
        <v>0.97829999999999995</v>
      </c>
      <c r="CS81">
        <f>VLOOKUP(Sales[[#This Row],[LivArea Range]],Lookups!$R$23:$U$39,4,FALSE)</f>
        <v>0.93310000000000004</v>
      </c>
      <c r="CT81">
        <f>VLOOKUP(Sales[[#This Row],[Decade]],Lookups!$M$23:$P$35,4,FALSE)</f>
        <v>0.91679999999999995</v>
      </c>
      <c r="CU81">
        <f>Sales[[#This Row],[Nbhd Adj]]*0.95</f>
        <v>0.92691499999999993</v>
      </c>
      <c r="CV81">
        <f>Sales[[#This Row],[Nbhd Adj]]*Sales[[#This Row],[Quality Adj]]*Sales[[#This Row],[Condition Adj]]*Sales[[#This Row],[Living Area Adj]]*Sales[[#This Row],[Decade Adj]]*0.95</f>
        <v>0.76278263392787293</v>
      </c>
      <c r="CW81">
        <f>ROUND(SUM(Sales[[#This Row],[Mdl Qlty]:[Mdl GarageArea]])+Sales[[#This Row],[Mdl Res Intercept]]*Sales[[#This Row],[Res Adj ]],-2)</f>
        <v>500800</v>
      </c>
      <c r="CX81">
        <f>ROUND(Sales[[#This Row],[25Det]]*Sales[[#This Row],[Det/Nbhd Adj]],-2)</f>
        <v>0</v>
      </c>
      <c r="CY81">
        <f>Sales[[#This Row],[Adjusted Res]]+Sales[[#This Row],[Adj Det ]]</f>
        <v>500800</v>
      </c>
      <c r="CZ81">
        <f>ROUND((Sales[[#This Row],[Mdl Land Intercept]]+Sales[[#This Row],[Mdl LnAcres]])*Sales[[#This Row],[Det/Nbhd Adj]],-2)</f>
        <v>27400</v>
      </c>
      <c r="DA81">
        <f>Sales[[#This Row],[Adjusted Impr Total]]+Sales[[#This Row],[Adjusted Land Total]]</f>
        <v>528200</v>
      </c>
      <c r="DB81">
        <f>IFERROR((Sales[[#This Row],[Adjusted Impr Total]]-Sales[[#This Row],[24Bldg]])/Sales[[#This Row],[24Bldg]],0)</f>
        <v>0.11561595010024504</v>
      </c>
      <c r="DC81">
        <f>(Sales[[#This Row],[Adjusted Land Total]]-Sales[[#This Row],[24Lnd]])/Sales[[#This Row],[24Lnd]]</f>
        <v>-7.7441077441077436E-2</v>
      </c>
      <c r="DD81">
        <f>(Sales[[#This Row],[Adjusted Total]]-Sales[[#This Row],[24Final]])/Sales[[#This Row],[24Final]]</f>
        <v>0.10363560384454659</v>
      </c>
      <c r="DE81">
        <f>(Sales[[#This Row],[Adjusted Total]]+Sales[[#This Row],[Days Prior Total]])/Sales[[#This Row],[Price]]</f>
        <v>1.1206063806444444</v>
      </c>
    </row>
    <row r="82" spans="1:109" x14ac:dyDescent="0.3">
      <c r="A82">
        <v>2025</v>
      </c>
      <c r="B82">
        <v>18131523419</v>
      </c>
      <c r="C82">
        <v>-1.2039728043259361</v>
      </c>
      <c r="D82">
        <v>0.3</v>
      </c>
      <c r="E82">
        <v>13012</v>
      </c>
      <c r="F82">
        <v>5</v>
      </c>
      <c r="G82" t="s">
        <v>89</v>
      </c>
      <c r="H82">
        <v>3041</v>
      </c>
      <c r="I82" t="s">
        <v>302</v>
      </c>
      <c r="J82" t="s">
        <v>26</v>
      </c>
      <c r="K82">
        <v>11</v>
      </c>
      <c r="L82">
        <v>259</v>
      </c>
      <c r="M82" t="s">
        <v>204</v>
      </c>
      <c r="N82" t="s">
        <v>75</v>
      </c>
      <c r="O82" t="s">
        <v>207</v>
      </c>
      <c r="P82">
        <v>1987</v>
      </c>
      <c r="Q82">
        <v>1987</v>
      </c>
      <c r="R82">
        <v>40</v>
      </c>
      <c r="S82">
        <v>37</v>
      </c>
      <c r="T82">
        <v>37</v>
      </c>
      <c r="U82">
        <v>1</v>
      </c>
      <c r="V82">
        <v>2197</v>
      </c>
      <c r="W82">
        <v>0</v>
      </c>
      <c r="X82">
        <v>0</v>
      </c>
      <c r="Y82">
        <v>2977</v>
      </c>
      <c r="Z82">
        <v>2977</v>
      </c>
      <c r="AA82">
        <v>0</v>
      </c>
      <c r="AB82">
        <v>5174</v>
      </c>
      <c r="AC82">
        <v>5500</v>
      </c>
      <c r="AD82">
        <v>3</v>
      </c>
      <c r="AF82" t="s">
        <v>275</v>
      </c>
      <c r="AG82" t="s">
        <v>111</v>
      </c>
      <c r="AH82" t="s">
        <v>314</v>
      </c>
      <c r="AI82">
        <v>0</v>
      </c>
      <c r="AJ82">
        <v>1</v>
      </c>
      <c r="AK82">
        <v>1</v>
      </c>
      <c r="AL82">
        <v>1</v>
      </c>
      <c r="AM82">
        <v>1</v>
      </c>
      <c r="AN82">
        <v>13</v>
      </c>
      <c r="AO82">
        <v>780</v>
      </c>
      <c r="AP82">
        <v>0</v>
      </c>
      <c r="AQ82">
        <v>780</v>
      </c>
      <c r="AR82">
        <v>0</v>
      </c>
      <c r="AS82">
        <v>1814</v>
      </c>
      <c r="AT82">
        <v>0</v>
      </c>
      <c r="AU82">
        <v>0</v>
      </c>
      <c r="AV82">
        <v>100</v>
      </c>
      <c r="AW82">
        <v>100</v>
      </c>
      <c r="AX82">
        <v>829486</v>
      </c>
      <c r="AY82">
        <v>738243</v>
      </c>
      <c r="AZ82">
        <v>720</v>
      </c>
      <c r="BA82">
        <v>365</v>
      </c>
      <c r="BB82">
        <v>355</v>
      </c>
      <c r="BC82">
        <v>0</v>
      </c>
      <c r="BD82" s="6">
        <v>44572</v>
      </c>
      <c r="BE82" t="s">
        <v>308</v>
      </c>
      <c r="BF82">
        <v>550000</v>
      </c>
      <c r="BG82">
        <v>550000</v>
      </c>
      <c r="BH82" t="s">
        <v>106</v>
      </c>
      <c r="BI82">
        <v>30</v>
      </c>
      <c r="BJ82" t="s">
        <v>51</v>
      </c>
      <c r="BK82" t="s">
        <v>314</v>
      </c>
      <c r="BL82">
        <v>673200</v>
      </c>
      <c r="BM82">
        <v>92100</v>
      </c>
      <c r="BN82">
        <v>581100</v>
      </c>
      <c r="BO82">
        <v>0</v>
      </c>
      <c r="BP82">
        <v>1.224</v>
      </c>
      <c r="BQ82">
        <v>669488.80761548644</v>
      </c>
      <c r="BR82">
        <v>693441.61023947713</v>
      </c>
      <c r="BS82" s="7">
        <f>(BR82-BL82)/BL82</f>
        <v>3.0067751395539407E-2</v>
      </c>
      <c r="BT82" s="14">
        <f>(Sales[[#This Row],[DP1]]*Lookups!$B$51)+(Sales[[#This Row],[DP2]]*Lookups!$B$52)+(Sales[[#This Row],[DP3]]*Lookups!$B$53)</f>
        <v>-23952.816170000006</v>
      </c>
      <c r="BU82" s="14">
        <f>Lookups!$B$48*0.5</f>
        <v>87214.824999999997</v>
      </c>
      <c r="BV82" s="14">
        <f>Lookups!$B$48*0.5</f>
        <v>87214.824999999997</v>
      </c>
      <c r="BW82" s="14">
        <f>Lookups!$B$49*Sales[[#This Row],[LnAcres]]</f>
        <v>-30132.845934857665</v>
      </c>
      <c r="BX82" s="14">
        <f>VLOOKUP(Sales[[#This Row],[Qlty]],Lookups!$A$54:$E$67,2,FALSE)</f>
        <v>19189.450408000001</v>
      </c>
      <c r="BY82" s="14">
        <f>VLOOKUP(Sales[[#This Row],[Cnd]],Lookups!$A$68:$E$76,2,FALSE)</f>
        <v>47273.897095</v>
      </c>
      <c r="BZ82" s="14">
        <f>Sales[[#This Row],[Age]]*Lookups!$B$77</f>
        <v>6826.9599099999996</v>
      </c>
      <c r="CA82" s="14">
        <f>Sales[[#This Row],[MainFn]]*Lookups!$B$78</f>
        <v>151776.35942300002</v>
      </c>
      <c r="CB82" s="14">
        <f>Sales[[#This Row],[UpprFn]]*Lookups!$B$79</f>
        <v>0</v>
      </c>
      <c r="CC82" s="14">
        <f>Sales[[#This Row],[AddFn]]*Lookups!$B$80</f>
        <v>0</v>
      </c>
      <c r="CD82" s="14">
        <f>Sales[[#This Row],[Bsmt]]*Lookups!$B$81</f>
        <v>85167.97486599999</v>
      </c>
      <c r="CE82" s="14">
        <f>Sales[[#This Row],[Fixtures]]*Lookups!$B$84</f>
        <v>132016.30000000002</v>
      </c>
      <c r="CF82" s="14">
        <f>Sales[[#This Row],[MsnryFP]]*Lookups!$B$82</f>
        <v>25273.623</v>
      </c>
      <c r="CG82" s="14">
        <f>Sales[[#This Row],[PrefabFP]]*Lookups!$B$83</f>
        <v>42091.021999999997</v>
      </c>
      <c r="CH82" s="14">
        <f>Sales[[#This Row],[GarageArea]]*Lookups!$B$85</f>
        <v>39529.227659999997</v>
      </c>
      <c r="CI82" s="14">
        <f>SUM(Sales[[#This Row],[Days Prior Total]:[Mdl GarageArea]])</f>
        <v>669488.80225714238</v>
      </c>
      <c r="CJ82" s="14">
        <f>ROUND(Sales[[#This Row],[25Det]],-2)</f>
        <v>0</v>
      </c>
      <c r="CK82" s="14">
        <f>ROUND(SUM(Sales[[#This Row],[Mdl Qlty]:[Mdl GarageArea]])+Sales[[#This Row],[Mdl Res Intercept]]+Sales[[#This Row],[Days Prior Total]],-2)</f>
        <v>612400</v>
      </c>
      <c r="CL82" s="14">
        <f>ROUND(Sales[[#This Row],[Mdl Land Intercept]]+Sales[[#This Row],[Mdl LnAcres]],-2)</f>
        <v>57100</v>
      </c>
      <c r="CM82" s="14">
        <f>Sales[[#This Row],[Unadj Res Value]]+Sales[[#This Row],[Unadj Det Value]]+Sales[[#This Row],[Unadj Land Value]]</f>
        <v>669500</v>
      </c>
      <c r="CN82" s="15">
        <f>Sales[[#This Row],[Unadj Total Value]]/Sales[[#This Row],[Price]]</f>
        <v>1.2172727272727273</v>
      </c>
      <c r="CO82" s="15">
        <f>(Sales[[#This Row],[Unadj Total Value]]-Sales[[#This Row],[24Final]])/Sales[[#This Row],[24Final]]</f>
        <v>-5.4961378490790257E-3</v>
      </c>
      <c r="CP82">
        <f>VLOOKUP(Sales[[#This Row],[TNbhd]],Lookups!$M$2:$P$4,4,FALSE)</f>
        <v>0.97570000000000001</v>
      </c>
      <c r="CQ82">
        <f>VLOOKUP(Sales[[#This Row],[Qlty]],Lookups!$M$6:$P$20,4,FALSE)</f>
        <v>0.9819</v>
      </c>
      <c r="CR82">
        <f>VLOOKUP(Sales[[#This Row],[Cnd]],Lookups!$R$6:$U$15,4,FALSE)</f>
        <v>0.97829999999999995</v>
      </c>
      <c r="CS82">
        <f>VLOOKUP(Sales[[#This Row],[LivArea Range]],Lookups!$R$23:$U$39,4,FALSE)</f>
        <v>0.90720000000000001</v>
      </c>
      <c r="CT82">
        <f>VLOOKUP(Sales[[#This Row],[Decade]],Lookups!$M$23:$P$35,4,FALSE)</f>
        <v>0.91679999999999995</v>
      </c>
      <c r="CU82">
        <f>Sales[[#This Row],[Nbhd Adj]]*0.95</f>
        <v>0.92691499999999993</v>
      </c>
      <c r="CV82">
        <f>Sales[[#This Row],[Nbhd Adj]]*Sales[[#This Row],[Quality Adj]]*Sales[[#This Row],[Condition Adj]]*Sales[[#This Row],[Living Area Adj]]*Sales[[#This Row],[Decade Adj]]*0.95</f>
        <v>0.74055423521564567</v>
      </c>
      <c r="CW82">
        <f>ROUND(SUM(Sales[[#This Row],[Mdl Qlty]:[Mdl GarageArea]])+Sales[[#This Row],[Mdl Res Intercept]]*Sales[[#This Row],[Res Adj ]],-2)</f>
        <v>613700</v>
      </c>
      <c r="CX82">
        <f>ROUND(Sales[[#This Row],[25Det]]*Sales[[#This Row],[Det/Nbhd Adj]],-2)</f>
        <v>0</v>
      </c>
      <c r="CY82">
        <f>Sales[[#This Row],[Adjusted Res]]+Sales[[#This Row],[Adj Det ]]</f>
        <v>613700</v>
      </c>
      <c r="CZ82">
        <f>ROUND((Sales[[#This Row],[Mdl Land Intercept]]+Sales[[#This Row],[Mdl LnAcres]])*Sales[[#This Row],[Det/Nbhd Adj]],-2)</f>
        <v>52900</v>
      </c>
      <c r="DA82">
        <f>Sales[[#This Row],[Adjusted Impr Total]]+Sales[[#This Row],[Adjusted Land Total]]</f>
        <v>666600</v>
      </c>
      <c r="DB82">
        <f>IFERROR((Sales[[#This Row],[Adjusted Impr Total]]-Sales[[#This Row],[24Bldg]])/Sales[[#This Row],[24Bldg]],0)</f>
        <v>5.6100499053519187E-2</v>
      </c>
      <c r="DC82">
        <f>(Sales[[#This Row],[Adjusted Land Total]]-Sales[[#This Row],[24Lnd]])/Sales[[#This Row],[24Lnd]]</f>
        <v>-0.42562432138979372</v>
      </c>
      <c r="DD82">
        <f>(Sales[[#This Row],[Adjusted Total]]-Sales[[#This Row],[24Final]])/Sales[[#This Row],[24Final]]</f>
        <v>-9.8039215686274508E-3</v>
      </c>
      <c r="DE82">
        <f>(Sales[[#This Row],[Adjusted Total]]+Sales[[#This Row],[Days Prior Total]])/Sales[[#This Row],[Price]]</f>
        <v>1.1684494251454545</v>
      </c>
    </row>
    <row r="83" spans="1:109" x14ac:dyDescent="0.3">
      <c r="A83">
        <v>2025</v>
      </c>
      <c r="B83">
        <v>18131533462</v>
      </c>
      <c r="C83">
        <v>-2.3025850929940455</v>
      </c>
      <c r="D83">
        <v>0.1</v>
      </c>
      <c r="E83">
        <v>4462</v>
      </c>
      <c r="F83">
        <v>5</v>
      </c>
      <c r="G83" t="s">
        <v>89</v>
      </c>
      <c r="H83" t="s">
        <v>302</v>
      </c>
      <c r="I83" t="s">
        <v>302</v>
      </c>
      <c r="J83" t="s">
        <v>109</v>
      </c>
      <c r="K83">
        <v>11</v>
      </c>
      <c r="L83">
        <v>259</v>
      </c>
      <c r="M83" t="s">
        <v>131</v>
      </c>
      <c r="N83" t="s">
        <v>50</v>
      </c>
      <c r="O83" t="s">
        <v>231</v>
      </c>
      <c r="P83">
        <v>1987</v>
      </c>
      <c r="Q83">
        <v>1987</v>
      </c>
      <c r="R83">
        <v>40</v>
      </c>
      <c r="S83">
        <v>37</v>
      </c>
      <c r="T83">
        <v>37</v>
      </c>
      <c r="U83">
        <v>2</v>
      </c>
      <c r="V83">
        <v>1256</v>
      </c>
      <c r="W83">
        <v>860</v>
      </c>
      <c r="X83">
        <v>0</v>
      </c>
      <c r="Y83">
        <v>0</v>
      </c>
      <c r="Z83">
        <v>0</v>
      </c>
      <c r="AA83">
        <v>0</v>
      </c>
      <c r="AB83">
        <v>2116</v>
      </c>
      <c r="AC83">
        <v>2500</v>
      </c>
      <c r="AD83">
        <v>2</v>
      </c>
      <c r="AF83" t="s">
        <v>153</v>
      </c>
      <c r="AG83" t="s">
        <v>274</v>
      </c>
      <c r="AI83">
        <v>0</v>
      </c>
      <c r="AJ83">
        <v>1</v>
      </c>
      <c r="AK83">
        <v>0</v>
      </c>
      <c r="AL83">
        <v>0</v>
      </c>
      <c r="AM83">
        <v>0</v>
      </c>
      <c r="AN83">
        <v>9</v>
      </c>
      <c r="AO83">
        <v>572</v>
      </c>
      <c r="AP83">
        <v>0</v>
      </c>
      <c r="AQ83">
        <v>572</v>
      </c>
      <c r="AR83">
        <v>0</v>
      </c>
      <c r="AS83">
        <v>0</v>
      </c>
      <c r="AT83">
        <v>504</v>
      </c>
      <c r="AU83">
        <v>504</v>
      </c>
      <c r="AV83">
        <v>100</v>
      </c>
      <c r="AW83">
        <v>100</v>
      </c>
      <c r="AX83">
        <v>505441</v>
      </c>
      <c r="AY83">
        <v>454897</v>
      </c>
      <c r="AZ83">
        <v>83</v>
      </c>
      <c r="BA83">
        <v>83</v>
      </c>
      <c r="BB83">
        <v>0</v>
      </c>
      <c r="BC83">
        <v>0</v>
      </c>
      <c r="BD83" s="6">
        <v>45209</v>
      </c>
      <c r="BE83" t="s">
        <v>238</v>
      </c>
      <c r="BF83">
        <v>385000</v>
      </c>
      <c r="BG83">
        <v>385000</v>
      </c>
      <c r="BH83" t="s">
        <v>198</v>
      </c>
      <c r="BI83">
        <v>30</v>
      </c>
      <c r="BJ83" t="s">
        <v>51</v>
      </c>
      <c r="BK83" t="s">
        <v>314</v>
      </c>
      <c r="BL83">
        <v>426500</v>
      </c>
      <c r="BM83">
        <v>29700</v>
      </c>
      <c r="BN83">
        <v>396800</v>
      </c>
      <c r="BO83">
        <v>0</v>
      </c>
      <c r="BP83">
        <v>1.1077922077922078</v>
      </c>
      <c r="BQ83">
        <v>442267.77768499515</v>
      </c>
      <c r="BR83">
        <v>455395.22059094615</v>
      </c>
      <c r="BS83" s="7">
        <f>(BR83-BL83)/BL83</f>
        <v>6.7749637962359083E-2</v>
      </c>
      <c r="BT83" s="14">
        <f>(Sales[[#This Row],[DP1]]*Lookups!$B$51)+(Sales[[#This Row],[DP2]]*Lookups!$B$52)+(Sales[[#This Row],[DP3]]*Lookups!$B$53)</f>
        <v>-13127.446</v>
      </c>
      <c r="BU83" s="14">
        <f>Lookups!$B$48*0.5</f>
        <v>87214.824999999997</v>
      </c>
      <c r="BV83" s="14">
        <f>Lookups!$B$48*0.5</f>
        <v>87214.824999999997</v>
      </c>
      <c r="BW83" s="14">
        <f>Lookups!$B$49*Sales[[#This Row],[LnAcres]]</f>
        <v>-57628.745109350653</v>
      </c>
      <c r="BX83" s="14">
        <f>VLOOKUP(Sales[[#This Row],[Qlty]],Lookups!$A$54:$E$67,2,FALSE)</f>
        <v>46722.525125</v>
      </c>
      <c r="BY83" s="14">
        <f>VLOOKUP(Sales[[#This Row],[Cnd]],Lookups!$A$68:$E$76,2,FALSE)</f>
        <v>0</v>
      </c>
      <c r="BZ83" s="14">
        <f>Sales[[#This Row],[Age]]*Lookups!$B$77</f>
        <v>6826.9599099999996</v>
      </c>
      <c r="CA83" s="14">
        <f>Sales[[#This Row],[MainFn]]*Lookups!$B$78</f>
        <v>86768.824504000004</v>
      </c>
      <c r="CB83" s="14">
        <f>Sales[[#This Row],[UpprFn]]*Lookups!$B$79</f>
        <v>52618.390500000001</v>
      </c>
      <c r="CC83" s="14">
        <f>Sales[[#This Row],[AddFn]]*Lookups!$B$80</f>
        <v>0</v>
      </c>
      <c r="CD83" s="14">
        <f>Sales[[#This Row],[Bsmt]]*Lookups!$B$81</f>
        <v>0</v>
      </c>
      <c r="CE83" s="14">
        <f>Sales[[#This Row],[Fixtures]]*Lookups!$B$84</f>
        <v>91395.900000000009</v>
      </c>
      <c r="CF83" s="14">
        <f>Sales[[#This Row],[MsnryFP]]*Lookups!$B$82</f>
        <v>25273.623</v>
      </c>
      <c r="CG83" s="14">
        <f>Sales[[#This Row],[PrefabFP]]*Lookups!$B$83</f>
        <v>0</v>
      </c>
      <c r="CH83" s="14">
        <f>Sales[[#This Row],[GarageArea]]*Lookups!$B$85</f>
        <v>28988.100284</v>
      </c>
      <c r="CI83" s="14">
        <f>SUM(Sales[[#This Row],[Days Prior Total]:[Mdl GarageArea]])</f>
        <v>442267.78221364936</v>
      </c>
      <c r="CJ83" s="14">
        <f>ROUND(Sales[[#This Row],[25Det]],-2)</f>
        <v>0</v>
      </c>
      <c r="CK83" s="14">
        <f>ROUND(SUM(Sales[[#This Row],[Mdl Qlty]:[Mdl GarageArea]])+Sales[[#This Row],[Mdl Res Intercept]]+Sales[[#This Row],[Days Prior Total]],-2)</f>
        <v>412700</v>
      </c>
      <c r="CL83" s="14">
        <f>ROUND(Sales[[#This Row],[Mdl Land Intercept]]+Sales[[#This Row],[Mdl LnAcres]],-2)</f>
        <v>29600</v>
      </c>
      <c r="CM83" s="14">
        <f>Sales[[#This Row],[Unadj Res Value]]+Sales[[#This Row],[Unadj Det Value]]+Sales[[#This Row],[Unadj Land Value]]</f>
        <v>442300</v>
      </c>
      <c r="CN83" s="15">
        <f>Sales[[#This Row],[Unadj Total Value]]/Sales[[#This Row],[Price]]</f>
        <v>1.1488311688311688</v>
      </c>
      <c r="CO83" s="15">
        <f>(Sales[[#This Row],[Unadj Total Value]]-Sales[[#This Row],[24Final]])/Sales[[#This Row],[24Final]]</f>
        <v>3.7045720984759674E-2</v>
      </c>
      <c r="CP83">
        <f>VLOOKUP(Sales[[#This Row],[TNbhd]],Lookups!$M$2:$P$4,4,FALSE)</f>
        <v>0.97570000000000001</v>
      </c>
      <c r="CQ83">
        <f>VLOOKUP(Sales[[#This Row],[Qlty]],Lookups!$M$6:$P$20,4,FALSE)</f>
        <v>0.98329999999999995</v>
      </c>
      <c r="CR83">
        <f>VLOOKUP(Sales[[#This Row],[Cnd]],Lookups!$R$6:$U$15,4,FALSE)</f>
        <v>0.9677</v>
      </c>
      <c r="CS83">
        <f>VLOOKUP(Sales[[#This Row],[LivArea Range]],Lookups!$R$23:$U$39,4,FALSE)</f>
        <v>0.93440000000000001</v>
      </c>
      <c r="CT83">
        <f>VLOOKUP(Sales[[#This Row],[Decade]],Lookups!$M$23:$P$35,4,FALSE)</f>
        <v>0.91679999999999995</v>
      </c>
      <c r="CU83">
        <f>Sales[[#This Row],[Nbhd Adj]]*0.95</f>
        <v>0.92691499999999993</v>
      </c>
      <c r="CV83">
        <f>Sales[[#This Row],[Nbhd Adj]]*Sales[[#This Row],[Quality Adj]]*Sales[[#This Row],[Condition Adj]]*Sales[[#This Row],[Living Area Adj]]*Sales[[#This Row],[Decade Adj]]*0.95</f>
        <v>0.75556898920891702</v>
      </c>
      <c r="CW83">
        <f>ROUND(SUM(Sales[[#This Row],[Mdl Qlty]:[Mdl GarageArea]])+Sales[[#This Row],[Mdl Res Intercept]]*Sales[[#This Row],[Res Adj ]],-2)</f>
        <v>404500</v>
      </c>
      <c r="CX83">
        <f>ROUND(Sales[[#This Row],[25Det]]*Sales[[#This Row],[Det/Nbhd Adj]],-2)</f>
        <v>0</v>
      </c>
      <c r="CY83">
        <f>Sales[[#This Row],[Adjusted Res]]+Sales[[#This Row],[Adj Det ]]</f>
        <v>404500</v>
      </c>
      <c r="CZ83">
        <f>ROUND((Sales[[#This Row],[Mdl Land Intercept]]+Sales[[#This Row],[Mdl LnAcres]])*Sales[[#This Row],[Det/Nbhd Adj]],-2)</f>
        <v>27400</v>
      </c>
      <c r="DA83">
        <f>Sales[[#This Row],[Adjusted Impr Total]]+Sales[[#This Row],[Adjusted Land Total]]</f>
        <v>431900</v>
      </c>
      <c r="DB83">
        <f>IFERROR((Sales[[#This Row],[Adjusted Impr Total]]-Sales[[#This Row],[24Bldg]])/Sales[[#This Row],[24Bldg]],0)</f>
        <v>1.9405241935483871E-2</v>
      </c>
      <c r="DC83">
        <f>(Sales[[#This Row],[Adjusted Land Total]]-Sales[[#This Row],[24Lnd]])/Sales[[#This Row],[24Lnd]]</f>
        <v>-7.7441077441077436E-2</v>
      </c>
      <c r="DD83">
        <f>(Sales[[#This Row],[Adjusted Total]]-Sales[[#This Row],[24Final]])/Sales[[#This Row],[24Final]]</f>
        <v>1.2661195779601406E-2</v>
      </c>
      <c r="DE83">
        <f>(Sales[[#This Row],[Adjusted Total]]+Sales[[#This Row],[Days Prior Total]])/Sales[[#This Row],[Price]]</f>
        <v>1.0877209194805195</v>
      </c>
    </row>
    <row r="84" spans="1:109" x14ac:dyDescent="0.3">
      <c r="A84">
        <v>2025</v>
      </c>
      <c r="B84">
        <v>18131532446</v>
      </c>
      <c r="C84">
        <v>-1.6094379124341003</v>
      </c>
      <c r="D84">
        <v>0.2</v>
      </c>
      <c r="E84">
        <v>8811</v>
      </c>
      <c r="F84">
        <v>5</v>
      </c>
      <c r="G84" t="s">
        <v>89</v>
      </c>
      <c r="H84">
        <v>3041</v>
      </c>
      <c r="I84" t="s">
        <v>302</v>
      </c>
      <c r="J84" t="s">
        <v>26</v>
      </c>
      <c r="K84">
        <v>11</v>
      </c>
      <c r="L84">
        <v>259</v>
      </c>
      <c r="M84" t="s">
        <v>4</v>
      </c>
      <c r="N84" t="s">
        <v>111</v>
      </c>
      <c r="O84" t="s">
        <v>207</v>
      </c>
      <c r="P84">
        <v>1985</v>
      </c>
      <c r="Q84">
        <v>1985</v>
      </c>
      <c r="R84">
        <v>40</v>
      </c>
      <c r="S84">
        <v>39</v>
      </c>
      <c r="T84">
        <v>39</v>
      </c>
      <c r="U84">
        <v>1</v>
      </c>
      <c r="V84">
        <v>1756</v>
      </c>
      <c r="W84">
        <v>0</v>
      </c>
      <c r="X84">
        <v>0</v>
      </c>
      <c r="Y84">
        <v>1008</v>
      </c>
      <c r="Z84">
        <v>1008</v>
      </c>
      <c r="AA84">
        <v>0</v>
      </c>
      <c r="AB84">
        <v>2764</v>
      </c>
      <c r="AC84">
        <v>3000</v>
      </c>
      <c r="AD84">
        <v>2</v>
      </c>
      <c r="AE84" t="s">
        <v>5</v>
      </c>
      <c r="AF84" t="s">
        <v>153</v>
      </c>
      <c r="AG84" t="s">
        <v>274</v>
      </c>
      <c r="AI84">
        <v>0</v>
      </c>
      <c r="AJ84">
        <v>0</v>
      </c>
      <c r="AK84">
        <v>2</v>
      </c>
      <c r="AL84">
        <v>1</v>
      </c>
      <c r="AM84">
        <v>1</v>
      </c>
      <c r="AN84">
        <v>15</v>
      </c>
      <c r="AO84">
        <v>0</v>
      </c>
      <c r="AP84">
        <v>624</v>
      </c>
      <c r="AQ84">
        <v>624</v>
      </c>
      <c r="AR84">
        <v>0</v>
      </c>
      <c r="AS84">
        <v>482</v>
      </c>
      <c r="AT84">
        <v>0</v>
      </c>
      <c r="AU84">
        <v>0</v>
      </c>
      <c r="AV84">
        <v>100</v>
      </c>
      <c r="AW84">
        <v>100</v>
      </c>
      <c r="AX84">
        <v>483999</v>
      </c>
      <c r="AY84">
        <v>421079</v>
      </c>
      <c r="AZ84">
        <v>1067</v>
      </c>
      <c r="BA84">
        <v>365</v>
      </c>
      <c r="BB84">
        <v>365</v>
      </c>
      <c r="BC84">
        <v>337</v>
      </c>
      <c r="BD84" s="6">
        <v>44225</v>
      </c>
      <c r="BE84" t="s">
        <v>60</v>
      </c>
      <c r="BF84">
        <v>385000</v>
      </c>
      <c r="BG84">
        <v>385000</v>
      </c>
      <c r="BH84" t="s">
        <v>198</v>
      </c>
      <c r="BI84">
        <v>30</v>
      </c>
      <c r="BJ84" t="s">
        <v>51</v>
      </c>
      <c r="BK84" t="s">
        <v>314</v>
      </c>
      <c r="BL84">
        <v>468100</v>
      </c>
      <c r="BM84">
        <v>69100</v>
      </c>
      <c r="BN84">
        <v>399000</v>
      </c>
      <c r="BO84">
        <v>0</v>
      </c>
      <c r="BP84">
        <v>1.2158441558441559</v>
      </c>
      <c r="BQ84">
        <v>465574.21485828306</v>
      </c>
      <c r="BR84">
        <v>592569.07027501182</v>
      </c>
      <c r="BS84" s="7">
        <f>(BR84-BL84)/BL84</f>
        <v>0.26590273504595563</v>
      </c>
      <c r="BT84" s="14">
        <f>(Sales[[#This Row],[DP1]]*Lookups!$B$51)+(Sales[[#This Row],[DP2]]*Lookups!$B$52)+(Sales[[#This Row],[DP3]]*Lookups!$B$53)</f>
        <v>-126994.85271000001</v>
      </c>
      <c r="BU84" s="14">
        <f>Lookups!$B$48*0.5</f>
        <v>87214.824999999997</v>
      </c>
      <c r="BV84" s="14">
        <f>Lookups!$B$48*0.5</f>
        <v>87214.824999999997</v>
      </c>
      <c r="BW84" s="14">
        <f>Lookups!$B$49*Sales[[#This Row],[LnAcres]]</f>
        <v>-40280.764218962147</v>
      </c>
      <c r="BX84" s="14">
        <f>VLOOKUP(Sales[[#This Row],[Qlty]],Lookups!$A$54:$E$67,2,FALSE)</f>
        <v>-14329.694740000001</v>
      </c>
      <c r="BY84" s="14">
        <f>VLOOKUP(Sales[[#This Row],[Cnd]],Lookups!$A$68:$E$76,2,FALSE)</f>
        <v>47273.897095</v>
      </c>
      <c r="BZ84" s="14">
        <f>Sales[[#This Row],[Age]]*Lookups!$B$77</f>
        <v>7195.98477</v>
      </c>
      <c r="CA84" s="14">
        <f>Sales[[#This Row],[MainFn]]*Lookups!$B$78</f>
        <v>121310.55400400001</v>
      </c>
      <c r="CB84" s="14">
        <f>Sales[[#This Row],[UpprFn]]*Lookups!$B$79</f>
        <v>0</v>
      </c>
      <c r="CC84" s="14">
        <f>Sales[[#This Row],[AddFn]]*Lookups!$B$80</f>
        <v>0</v>
      </c>
      <c r="CD84" s="14">
        <f>Sales[[#This Row],[Bsmt]]*Lookups!$B$81</f>
        <v>28837.527263999997</v>
      </c>
      <c r="CE84" s="14">
        <f>Sales[[#This Row],[Fixtures]]*Lookups!$B$84</f>
        <v>152326.5</v>
      </c>
      <c r="CF84" s="14">
        <f>Sales[[#This Row],[MsnryFP]]*Lookups!$B$82</f>
        <v>0</v>
      </c>
      <c r="CG84" s="14">
        <f>Sales[[#This Row],[PrefabFP]]*Lookups!$B$83</f>
        <v>84182.043999999994</v>
      </c>
      <c r="CH84" s="14">
        <f>Sales[[#This Row],[GarageArea]]*Lookups!$B$85</f>
        <v>31623.382128000001</v>
      </c>
      <c r="CI84" s="14">
        <f>SUM(Sales[[#This Row],[Days Prior Total]:[Mdl GarageArea]])</f>
        <v>465574.22759203787</v>
      </c>
      <c r="CJ84" s="14">
        <f>ROUND(Sales[[#This Row],[25Det]],-2)</f>
        <v>0</v>
      </c>
      <c r="CK84" s="14">
        <f>ROUND(SUM(Sales[[#This Row],[Mdl Qlty]:[Mdl GarageArea]])+Sales[[#This Row],[Mdl Res Intercept]]+Sales[[#This Row],[Days Prior Total]],-2)</f>
        <v>418600</v>
      </c>
      <c r="CL84" s="14">
        <f>ROUND(Sales[[#This Row],[Mdl Land Intercept]]+Sales[[#This Row],[Mdl LnAcres]],-2)</f>
        <v>46900</v>
      </c>
      <c r="CM84" s="14">
        <f>Sales[[#This Row],[Unadj Res Value]]+Sales[[#This Row],[Unadj Det Value]]+Sales[[#This Row],[Unadj Land Value]]</f>
        <v>465500</v>
      </c>
      <c r="CN84" s="15">
        <f>Sales[[#This Row],[Unadj Total Value]]/Sales[[#This Row],[Price]]</f>
        <v>1.209090909090909</v>
      </c>
      <c r="CO84" s="15">
        <f>(Sales[[#This Row],[Unadj Total Value]]-Sales[[#This Row],[24Final]])/Sales[[#This Row],[24Final]]</f>
        <v>-5.554368724631489E-3</v>
      </c>
      <c r="CP84">
        <f>VLOOKUP(Sales[[#This Row],[TNbhd]],Lookups!$M$2:$P$4,4,FALSE)</f>
        <v>0.97570000000000001</v>
      </c>
      <c r="CQ84">
        <f>VLOOKUP(Sales[[#This Row],[Qlty]],Lookups!$M$6:$P$20,4,FALSE)</f>
        <v>0.98809999999999998</v>
      </c>
      <c r="CR84">
        <f>VLOOKUP(Sales[[#This Row],[Cnd]],Lookups!$R$6:$U$15,4,FALSE)</f>
        <v>0.97829999999999995</v>
      </c>
      <c r="CS84">
        <f>VLOOKUP(Sales[[#This Row],[LivArea Range]],Lookups!$R$23:$U$39,4,FALSE)</f>
        <v>0.93310000000000004</v>
      </c>
      <c r="CT84">
        <f>VLOOKUP(Sales[[#This Row],[Decade]],Lookups!$M$23:$P$35,4,FALSE)</f>
        <v>0.91679999999999995</v>
      </c>
      <c r="CU84">
        <f>Sales[[#This Row],[Nbhd Adj]]*0.95</f>
        <v>0.92691499999999993</v>
      </c>
      <c r="CV84">
        <f>Sales[[#This Row],[Nbhd Adj]]*Sales[[#This Row],[Quality Adj]]*Sales[[#This Row],[Condition Adj]]*Sales[[#This Row],[Living Area Adj]]*Sales[[#This Row],[Decade Adj]]*0.95</f>
        <v>0.766506173684665</v>
      </c>
      <c r="CW84">
        <f>ROUND(SUM(Sales[[#This Row],[Mdl Qlty]:[Mdl GarageArea]])+Sales[[#This Row],[Mdl Res Intercept]]*Sales[[#This Row],[Res Adj ]],-2)</f>
        <v>525300</v>
      </c>
      <c r="CX84">
        <f>ROUND(Sales[[#This Row],[25Det]]*Sales[[#This Row],[Det/Nbhd Adj]],-2)</f>
        <v>0</v>
      </c>
      <c r="CY84">
        <f>Sales[[#This Row],[Adjusted Res]]+Sales[[#This Row],[Adj Det ]]</f>
        <v>525300</v>
      </c>
      <c r="CZ84">
        <f>ROUND((Sales[[#This Row],[Mdl Land Intercept]]+Sales[[#This Row],[Mdl LnAcres]])*Sales[[#This Row],[Det/Nbhd Adj]],-2)</f>
        <v>43500</v>
      </c>
      <c r="DA84">
        <f>Sales[[#This Row],[Adjusted Impr Total]]+Sales[[#This Row],[Adjusted Land Total]]</f>
        <v>568800</v>
      </c>
      <c r="DB84">
        <f>IFERROR((Sales[[#This Row],[Adjusted Impr Total]]-Sales[[#This Row],[24Bldg]])/Sales[[#This Row],[24Bldg]],0)</f>
        <v>0.31654135338345862</v>
      </c>
      <c r="DC84">
        <f>(Sales[[#This Row],[Adjusted Land Total]]-Sales[[#This Row],[24Lnd]])/Sales[[#This Row],[24Lnd]]</f>
        <v>-0.37047756874095511</v>
      </c>
      <c r="DD84">
        <f>(Sales[[#This Row],[Adjusted Total]]-Sales[[#This Row],[24Final]])/Sales[[#This Row],[24Final]]</f>
        <v>0.2151249732963042</v>
      </c>
      <c r="DE84">
        <f>(Sales[[#This Row],[Adjusted Total]]+Sales[[#This Row],[Days Prior Total]])/Sales[[#This Row],[Price]]</f>
        <v>1.1475458371168832</v>
      </c>
    </row>
    <row r="85" spans="1:109" x14ac:dyDescent="0.3">
      <c r="A85">
        <v>2025</v>
      </c>
      <c r="B85">
        <v>18131533452</v>
      </c>
      <c r="C85">
        <v>-2.3025850929940455</v>
      </c>
      <c r="D85">
        <v>0.1</v>
      </c>
      <c r="E85">
        <v>4464</v>
      </c>
      <c r="F85">
        <v>5</v>
      </c>
      <c r="G85" t="s">
        <v>89</v>
      </c>
      <c r="H85" t="s">
        <v>302</v>
      </c>
      <c r="I85" t="s">
        <v>302</v>
      </c>
      <c r="J85" t="s">
        <v>109</v>
      </c>
      <c r="K85">
        <v>11</v>
      </c>
      <c r="L85">
        <v>259</v>
      </c>
      <c r="M85" t="s">
        <v>131</v>
      </c>
      <c r="N85" t="s">
        <v>75</v>
      </c>
      <c r="O85" t="s">
        <v>231</v>
      </c>
      <c r="P85">
        <v>1985</v>
      </c>
      <c r="Q85">
        <v>1985</v>
      </c>
      <c r="R85">
        <v>40</v>
      </c>
      <c r="S85">
        <v>39</v>
      </c>
      <c r="T85">
        <v>39</v>
      </c>
      <c r="U85">
        <v>2</v>
      </c>
      <c r="V85">
        <v>936</v>
      </c>
      <c r="W85">
        <v>1135</v>
      </c>
      <c r="X85">
        <v>0</v>
      </c>
      <c r="Y85">
        <v>0</v>
      </c>
      <c r="Z85">
        <v>0</v>
      </c>
      <c r="AA85">
        <v>0</v>
      </c>
      <c r="AB85">
        <v>2071</v>
      </c>
      <c r="AC85">
        <v>2500</v>
      </c>
      <c r="AD85">
        <v>2</v>
      </c>
      <c r="AF85" t="s">
        <v>275</v>
      </c>
      <c r="AG85" t="s">
        <v>111</v>
      </c>
      <c r="AH85" t="s">
        <v>314</v>
      </c>
      <c r="AI85">
        <v>0</v>
      </c>
      <c r="AJ85">
        <v>1</v>
      </c>
      <c r="AK85">
        <v>1</v>
      </c>
      <c r="AL85">
        <v>0</v>
      </c>
      <c r="AM85">
        <v>1</v>
      </c>
      <c r="AN85">
        <v>13</v>
      </c>
      <c r="AO85">
        <v>0</v>
      </c>
      <c r="AP85">
        <v>399</v>
      </c>
      <c r="AQ85">
        <v>399</v>
      </c>
      <c r="AR85">
        <v>0</v>
      </c>
      <c r="AS85">
        <v>0</v>
      </c>
      <c r="AT85">
        <v>355</v>
      </c>
      <c r="AU85">
        <v>0</v>
      </c>
      <c r="AV85">
        <v>100</v>
      </c>
      <c r="AW85">
        <v>100</v>
      </c>
      <c r="AX85">
        <v>453889</v>
      </c>
      <c r="AY85">
        <v>381267</v>
      </c>
      <c r="AZ85">
        <v>24</v>
      </c>
      <c r="BA85">
        <v>24</v>
      </c>
      <c r="BB85">
        <v>0</v>
      </c>
      <c r="BC85">
        <v>0</v>
      </c>
      <c r="BD85" s="6">
        <v>45268</v>
      </c>
      <c r="BE85" t="s">
        <v>237</v>
      </c>
      <c r="BF85">
        <v>412000</v>
      </c>
      <c r="BG85">
        <v>412000</v>
      </c>
      <c r="BH85" t="s">
        <v>198</v>
      </c>
      <c r="BI85">
        <v>30</v>
      </c>
      <c r="BJ85" t="s">
        <v>51</v>
      </c>
      <c r="BK85" t="s">
        <v>314</v>
      </c>
      <c r="BL85">
        <v>434300</v>
      </c>
      <c r="BM85">
        <v>29700</v>
      </c>
      <c r="BN85">
        <v>404600</v>
      </c>
      <c r="BO85">
        <v>0</v>
      </c>
      <c r="BP85">
        <v>1.0541262135922329</v>
      </c>
      <c r="BQ85">
        <v>493098.26503762143</v>
      </c>
      <c r="BR85">
        <v>496894.15214295668</v>
      </c>
      <c r="BS85" s="7">
        <f>(BR85-BL85)/BL85</f>
        <v>0.14412653037751941</v>
      </c>
      <c r="BT85" s="14">
        <f>(Sales[[#This Row],[DP1]]*Lookups!$B$51)+(Sales[[#This Row],[DP2]]*Lookups!$B$52)+(Sales[[#This Row],[DP3]]*Lookups!$B$53)</f>
        <v>-3795.8879999999999</v>
      </c>
      <c r="BU85" s="14">
        <f>Lookups!$B$48*0.5</f>
        <v>87214.824999999997</v>
      </c>
      <c r="BV85" s="14">
        <f>Lookups!$B$48*0.5</f>
        <v>87214.824999999997</v>
      </c>
      <c r="BW85" s="14">
        <f>Lookups!$B$49*Sales[[#This Row],[LnAcres]]</f>
        <v>-57628.745109350653</v>
      </c>
      <c r="BX85" s="14">
        <f>VLOOKUP(Sales[[#This Row],[Qlty]],Lookups!$A$54:$E$67,2,FALSE)</f>
        <v>19189.450408000001</v>
      </c>
      <c r="BY85" s="14">
        <f>VLOOKUP(Sales[[#This Row],[Cnd]],Lookups!$A$68:$E$76,2,FALSE)</f>
        <v>0</v>
      </c>
      <c r="BZ85" s="14">
        <f>Sales[[#This Row],[Age]]*Lookups!$B$77</f>
        <v>7195.98477</v>
      </c>
      <c r="CA85" s="14">
        <f>Sales[[#This Row],[MainFn]]*Lookups!$B$78</f>
        <v>64662.117624000006</v>
      </c>
      <c r="CB85" s="14">
        <f>Sales[[#This Row],[UpprFn]]*Lookups!$B$79</f>
        <v>69444.038625000001</v>
      </c>
      <c r="CC85" s="14">
        <f>Sales[[#This Row],[AddFn]]*Lookups!$B$80</f>
        <v>0</v>
      </c>
      <c r="CD85" s="14">
        <f>Sales[[#This Row],[Bsmt]]*Lookups!$B$81</f>
        <v>0</v>
      </c>
      <c r="CE85" s="14">
        <f>Sales[[#This Row],[Fixtures]]*Lookups!$B$84</f>
        <v>132016.30000000002</v>
      </c>
      <c r="CF85" s="14">
        <f>Sales[[#This Row],[MsnryFP]]*Lookups!$B$82</f>
        <v>25273.623</v>
      </c>
      <c r="CG85" s="14">
        <f>Sales[[#This Row],[PrefabFP]]*Lookups!$B$83</f>
        <v>42091.021999999997</v>
      </c>
      <c r="CH85" s="14">
        <f>Sales[[#This Row],[GarageArea]]*Lookups!$B$85</f>
        <v>20220.720302999998</v>
      </c>
      <c r="CI85" s="14">
        <f>SUM(Sales[[#This Row],[Days Prior Total]:[Mdl GarageArea]])</f>
        <v>493098.27362064942</v>
      </c>
      <c r="CJ85" s="14">
        <f>ROUND(Sales[[#This Row],[25Det]],-2)</f>
        <v>0</v>
      </c>
      <c r="CK85" s="14">
        <f>ROUND(SUM(Sales[[#This Row],[Mdl Qlty]:[Mdl GarageArea]])+Sales[[#This Row],[Mdl Res Intercept]]+Sales[[#This Row],[Days Prior Total]],-2)</f>
        <v>463500</v>
      </c>
      <c r="CL85" s="14">
        <f>ROUND(Sales[[#This Row],[Mdl Land Intercept]]+Sales[[#This Row],[Mdl LnAcres]],-2)</f>
        <v>29600</v>
      </c>
      <c r="CM85" s="14">
        <f>Sales[[#This Row],[Unadj Res Value]]+Sales[[#This Row],[Unadj Det Value]]+Sales[[#This Row],[Unadj Land Value]]</f>
        <v>493100</v>
      </c>
      <c r="CN85" s="15">
        <f>Sales[[#This Row],[Unadj Total Value]]/Sales[[#This Row],[Price]]</f>
        <v>1.1968446601941747</v>
      </c>
      <c r="CO85" s="15">
        <f>(Sales[[#This Row],[Unadj Total Value]]-Sales[[#This Row],[24Final]])/Sales[[#This Row],[24Final]]</f>
        <v>0.13539028321436794</v>
      </c>
      <c r="CP85">
        <f>VLOOKUP(Sales[[#This Row],[TNbhd]],Lookups!$M$2:$P$4,4,FALSE)</f>
        <v>0.97570000000000001</v>
      </c>
      <c r="CQ85">
        <f>VLOOKUP(Sales[[#This Row],[Qlty]],Lookups!$M$6:$P$20,4,FALSE)</f>
        <v>0.9819</v>
      </c>
      <c r="CR85">
        <f>VLOOKUP(Sales[[#This Row],[Cnd]],Lookups!$R$6:$U$15,4,FALSE)</f>
        <v>0.9677</v>
      </c>
      <c r="CS85">
        <f>VLOOKUP(Sales[[#This Row],[LivArea Range]],Lookups!$R$23:$U$39,4,FALSE)</f>
        <v>0.93440000000000001</v>
      </c>
      <c r="CT85">
        <f>VLOOKUP(Sales[[#This Row],[Decade]],Lookups!$M$23:$P$35,4,FALSE)</f>
        <v>0.91679999999999995</v>
      </c>
      <c r="CU85">
        <f>Sales[[#This Row],[Nbhd Adj]]*0.95</f>
        <v>0.92691499999999993</v>
      </c>
      <c r="CV85">
        <f>Sales[[#This Row],[Nbhd Adj]]*Sales[[#This Row],[Quality Adj]]*Sales[[#This Row],[Condition Adj]]*Sales[[#This Row],[Living Area Adj]]*Sales[[#This Row],[Decade Adj]]*0.95</f>
        <v>0.75449322740184643</v>
      </c>
      <c r="CW85">
        <f>ROUND(SUM(Sales[[#This Row],[Mdl Qlty]:[Mdl GarageArea]])+Sales[[#This Row],[Mdl Res Intercept]]*Sales[[#This Row],[Res Adj ]],-2)</f>
        <v>445900</v>
      </c>
      <c r="CX85">
        <f>ROUND(Sales[[#This Row],[25Det]]*Sales[[#This Row],[Det/Nbhd Adj]],-2)</f>
        <v>0</v>
      </c>
      <c r="CY85">
        <f>Sales[[#This Row],[Adjusted Res]]+Sales[[#This Row],[Adj Det ]]</f>
        <v>445900</v>
      </c>
      <c r="CZ85">
        <f>ROUND((Sales[[#This Row],[Mdl Land Intercept]]+Sales[[#This Row],[Mdl LnAcres]])*Sales[[#This Row],[Det/Nbhd Adj]],-2)</f>
        <v>27400</v>
      </c>
      <c r="DA85">
        <f>Sales[[#This Row],[Adjusted Impr Total]]+Sales[[#This Row],[Adjusted Land Total]]</f>
        <v>473300</v>
      </c>
      <c r="DB85">
        <f>IFERROR((Sales[[#This Row],[Adjusted Impr Total]]-Sales[[#This Row],[24Bldg]])/Sales[[#This Row],[24Bldg]],0)</f>
        <v>0.10207612456747404</v>
      </c>
      <c r="DC85">
        <f>(Sales[[#This Row],[Adjusted Land Total]]-Sales[[#This Row],[24Lnd]])/Sales[[#This Row],[24Lnd]]</f>
        <v>-7.7441077441077436E-2</v>
      </c>
      <c r="DD85">
        <f>(Sales[[#This Row],[Adjusted Total]]-Sales[[#This Row],[24Final]])/Sales[[#This Row],[24Final]]</f>
        <v>8.9799677642182829E-2</v>
      </c>
      <c r="DE85">
        <f>(Sales[[#This Row],[Adjusted Total]]+Sales[[#This Row],[Days Prior Total]])/Sales[[#This Row],[Price]]</f>
        <v>1.1395730873786409</v>
      </c>
    </row>
    <row r="86" spans="1:109" x14ac:dyDescent="0.3">
      <c r="A86">
        <v>2025</v>
      </c>
      <c r="B86">
        <v>18131533453</v>
      </c>
      <c r="C86">
        <v>-2.3025850929940455</v>
      </c>
      <c r="D86">
        <v>0.1</v>
      </c>
      <c r="E86">
        <v>4524</v>
      </c>
      <c r="F86">
        <v>5</v>
      </c>
      <c r="G86" t="s">
        <v>89</v>
      </c>
      <c r="H86">
        <v>3042</v>
      </c>
      <c r="I86" t="s">
        <v>302</v>
      </c>
      <c r="J86" t="s">
        <v>109</v>
      </c>
      <c r="K86">
        <v>11</v>
      </c>
      <c r="L86">
        <v>259</v>
      </c>
      <c r="M86" t="s">
        <v>131</v>
      </c>
      <c r="N86" t="s">
        <v>50</v>
      </c>
      <c r="O86" t="s">
        <v>207</v>
      </c>
      <c r="P86">
        <v>1985</v>
      </c>
      <c r="Q86">
        <v>1985</v>
      </c>
      <c r="R86">
        <v>40</v>
      </c>
      <c r="S86">
        <v>39</v>
      </c>
      <c r="T86">
        <v>39</v>
      </c>
      <c r="U86">
        <v>2</v>
      </c>
      <c r="V86">
        <v>964</v>
      </c>
      <c r="W86">
        <v>1200</v>
      </c>
      <c r="X86">
        <v>0</v>
      </c>
      <c r="Y86">
        <v>0</v>
      </c>
      <c r="Z86">
        <v>0</v>
      </c>
      <c r="AA86">
        <v>0</v>
      </c>
      <c r="AB86">
        <v>2164</v>
      </c>
      <c r="AC86">
        <v>2500</v>
      </c>
      <c r="AD86">
        <v>2</v>
      </c>
      <c r="AF86" t="s">
        <v>153</v>
      </c>
      <c r="AG86" t="s">
        <v>274</v>
      </c>
      <c r="AH86" t="s">
        <v>51</v>
      </c>
      <c r="AI86">
        <v>0</v>
      </c>
      <c r="AJ86">
        <v>1</v>
      </c>
      <c r="AK86">
        <v>0</v>
      </c>
      <c r="AL86">
        <v>0</v>
      </c>
      <c r="AM86">
        <v>1</v>
      </c>
      <c r="AN86">
        <v>12</v>
      </c>
      <c r="AO86">
        <v>0</v>
      </c>
      <c r="AP86">
        <v>418</v>
      </c>
      <c r="AQ86">
        <v>418</v>
      </c>
      <c r="AR86">
        <v>0</v>
      </c>
      <c r="AS86">
        <v>0</v>
      </c>
      <c r="AT86">
        <v>350</v>
      </c>
      <c r="AU86">
        <v>0</v>
      </c>
      <c r="AV86">
        <v>100</v>
      </c>
      <c r="AW86">
        <v>100</v>
      </c>
      <c r="AX86">
        <v>514898</v>
      </c>
      <c r="AY86">
        <v>458259</v>
      </c>
      <c r="AZ86">
        <v>228</v>
      </c>
      <c r="BA86">
        <v>228</v>
      </c>
      <c r="BB86">
        <v>0</v>
      </c>
      <c r="BC86">
        <v>0</v>
      </c>
      <c r="BD86" s="6">
        <v>45064</v>
      </c>
      <c r="BE86" t="s">
        <v>286</v>
      </c>
      <c r="BF86">
        <v>456500</v>
      </c>
      <c r="BG86">
        <v>456500</v>
      </c>
      <c r="BH86" t="s">
        <v>198</v>
      </c>
      <c r="BI86">
        <v>30</v>
      </c>
      <c r="BJ86" t="s">
        <v>51</v>
      </c>
      <c r="BK86" t="s">
        <v>314</v>
      </c>
      <c r="BL86">
        <v>456600</v>
      </c>
      <c r="BM86">
        <v>29700</v>
      </c>
      <c r="BN86">
        <v>426900</v>
      </c>
      <c r="BO86">
        <v>0</v>
      </c>
      <c r="BP86">
        <v>1.0002190580503834</v>
      </c>
      <c r="BQ86">
        <v>490268.27460930747</v>
      </c>
      <c r="BR86">
        <v>526329.20210999215</v>
      </c>
      <c r="BS86" s="7">
        <f>(BR86-BL86)/BL86</f>
        <v>0.15271397746384616</v>
      </c>
      <c r="BT86" s="14">
        <f>(Sales[[#This Row],[DP1]]*Lookups!$B$51)+(Sales[[#This Row],[DP2]]*Lookups!$B$52)+(Sales[[#This Row],[DP3]]*Lookups!$B$53)</f>
        <v>-36060.936000000002</v>
      </c>
      <c r="BU86" s="14">
        <f>Lookups!$B$48*0.5</f>
        <v>87214.824999999997</v>
      </c>
      <c r="BV86" s="14">
        <f>Lookups!$B$48*0.5</f>
        <v>87214.824999999997</v>
      </c>
      <c r="BW86" s="14">
        <f>Lookups!$B$49*Sales[[#This Row],[LnAcres]]</f>
        <v>-57628.745109350653</v>
      </c>
      <c r="BX86" s="14">
        <f>VLOOKUP(Sales[[#This Row],[Qlty]],Lookups!$A$54:$E$67,2,FALSE)</f>
        <v>46722.525125</v>
      </c>
      <c r="BY86" s="14">
        <f>VLOOKUP(Sales[[#This Row],[Cnd]],Lookups!$A$68:$E$76,2,FALSE)</f>
        <v>47273.897095</v>
      </c>
      <c r="BZ86" s="14">
        <f>Sales[[#This Row],[Age]]*Lookups!$B$77</f>
        <v>7195.98477</v>
      </c>
      <c r="CA86" s="14">
        <f>Sales[[#This Row],[MainFn]]*Lookups!$B$78</f>
        <v>66596.454475999999</v>
      </c>
      <c r="CB86" s="14">
        <f>Sales[[#This Row],[UpprFn]]*Lookups!$B$79</f>
        <v>73421.010000000009</v>
      </c>
      <c r="CC86" s="14">
        <f>Sales[[#This Row],[AddFn]]*Lookups!$B$80</f>
        <v>0</v>
      </c>
      <c r="CD86" s="14">
        <f>Sales[[#This Row],[Bsmt]]*Lookups!$B$81</f>
        <v>0</v>
      </c>
      <c r="CE86" s="14">
        <f>Sales[[#This Row],[Fixtures]]*Lookups!$B$84</f>
        <v>121861.20000000001</v>
      </c>
      <c r="CF86" s="14">
        <f>Sales[[#This Row],[MsnryFP]]*Lookups!$B$82</f>
        <v>25273.623</v>
      </c>
      <c r="CG86" s="14">
        <f>Sales[[#This Row],[PrefabFP]]*Lookups!$B$83</f>
        <v>0</v>
      </c>
      <c r="CH86" s="14">
        <f>Sales[[#This Row],[GarageArea]]*Lookups!$B$85</f>
        <v>21183.611745999999</v>
      </c>
      <c r="CI86" s="14">
        <f>SUM(Sales[[#This Row],[Days Prior Total]:[Mdl GarageArea]])</f>
        <v>490268.27510264941</v>
      </c>
      <c r="CJ86" s="14">
        <f>ROUND(Sales[[#This Row],[25Det]],-2)</f>
        <v>0</v>
      </c>
      <c r="CK86" s="14">
        <f>ROUND(SUM(Sales[[#This Row],[Mdl Qlty]:[Mdl GarageArea]])+Sales[[#This Row],[Mdl Res Intercept]]+Sales[[#This Row],[Days Prior Total]],-2)</f>
        <v>460700</v>
      </c>
      <c r="CL86" s="14">
        <f>ROUND(Sales[[#This Row],[Mdl Land Intercept]]+Sales[[#This Row],[Mdl LnAcres]],-2)</f>
        <v>29600</v>
      </c>
      <c r="CM86" s="14">
        <f>Sales[[#This Row],[Unadj Res Value]]+Sales[[#This Row],[Unadj Det Value]]+Sales[[#This Row],[Unadj Land Value]]</f>
        <v>490300</v>
      </c>
      <c r="CN86" s="15">
        <f>Sales[[#This Row],[Unadj Total Value]]/Sales[[#This Row],[Price]]</f>
        <v>1.0740416210295729</v>
      </c>
      <c r="CO86" s="15">
        <f>(Sales[[#This Row],[Unadj Total Value]]-Sales[[#This Row],[24Final]])/Sales[[#This Row],[24Final]]</f>
        <v>7.3806395094174332E-2</v>
      </c>
      <c r="CP86">
        <f>VLOOKUP(Sales[[#This Row],[TNbhd]],Lookups!$M$2:$P$4,4,FALSE)</f>
        <v>0.97570000000000001</v>
      </c>
      <c r="CQ86">
        <f>VLOOKUP(Sales[[#This Row],[Qlty]],Lookups!$M$6:$P$20,4,FALSE)</f>
        <v>0.98329999999999995</v>
      </c>
      <c r="CR86">
        <f>VLOOKUP(Sales[[#This Row],[Cnd]],Lookups!$R$6:$U$15,4,FALSE)</f>
        <v>0.97829999999999995</v>
      </c>
      <c r="CS86">
        <f>VLOOKUP(Sales[[#This Row],[LivArea Range]],Lookups!$R$23:$U$39,4,FALSE)</f>
        <v>0.93440000000000001</v>
      </c>
      <c r="CT86">
        <f>VLOOKUP(Sales[[#This Row],[Decade]],Lookups!$M$23:$P$35,4,FALSE)</f>
        <v>0.91679999999999995</v>
      </c>
      <c r="CU86">
        <f>Sales[[#This Row],[Nbhd Adj]]*0.95</f>
        <v>0.92691499999999993</v>
      </c>
      <c r="CV86">
        <f>Sales[[#This Row],[Nbhd Adj]]*Sales[[#This Row],[Quality Adj]]*Sales[[#This Row],[Condition Adj]]*Sales[[#This Row],[Living Area Adj]]*Sales[[#This Row],[Decade Adj]]*0.95</f>
        <v>0.7638453468462163</v>
      </c>
      <c r="CW86">
        <f>ROUND(SUM(Sales[[#This Row],[Mdl Qlty]:[Mdl GarageArea]])+Sales[[#This Row],[Mdl Res Intercept]]*Sales[[#This Row],[Res Adj ]],-2)</f>
        <v>476100</v>
      </c>
      <c r="CX86">
        <f>ROUND(Sales[[#This Row],[25Det]]*Sales[[#This Row],[Det/Nbhd Adj]],-2)</f>
        <v>0</v>
      </c>
      <c r="CY86">
        <f>Sales[[#This Row],[Adjusted Res]]+Sales[[#This Row],[Adj Det ]]</f>
        <v>476100</v>
      </c>
      <c r="CZ86">
        <f>ROUND((Sales[[#This Row],[Mdl Land Intercept]]+Sales[[#This Row],[Mdl LnAcres]])*Sales[[#This Row],[Det/Nbhd Adj]],-2)</f>
        <v>27400</v>
      </c>
      <c r="DA86">
        <f>Sales[[#This Row],[Adjusted Impr Total]]+Sales[[#This Row],[Adjusted Land Total]]</f>
        <v>503500</v>
      </c>
      <c r="DB86">
        <f>IFERROR((Sales[[#This Row],[Adjusted Impr Total]]-Sales[[#This Row],[24Bldg]])/Sales[[#This Row],[24Bldg]],0)</f>
        <v>0.11524947294448348</v>
      </c>
      <c r="DC86">
        <f>(Sales[[#This Row],[Adjusted Land Total]]-Sales[[#This Row],[24Lnd]])/Sales[[#This Row],[24Lnd]]</f>
        <v>-7.7441077441077436E-2</v>
      </c>
      <c r="DD86">
        <f>(Sales[[#This Row],[Adjusted Total]]-Sales[[#This Row],[24Final]])/Sales[[#This Row],[24Final]]</f>
        <v>0.10271572492334648</v>
      </c>
      <c r="DE86">
        <f>(Sales[[#This Row],[Adjusted Total]]+Sales[[#This Row],[Days Prior Total]])/Sales[[#This Row],[Price]]</f>
        <v>1.0239629003285871</v>
      </c>
    </row>
    <row r="87" spans="1:109" x14ac:dyDescent="0.3">
      <c r="A87">
        <v>2025</v>
      </c>
      <c r="B87">
        <v>18131721006</v>
      </c>
      <c r="C87">
        <v>1.8405496333974869</v>
      </c>
      <c r="D87">
        <v>6.3</v>
      </c>
      <c r="E87">
        <v>0</v>
      </c>
      <c r="F87">
        <v>1</v>
      </c>
      <c r="G87" t="s">
        <v>89</v>
      </c>
      <c r="H87">
        <v>3041</v>
      </c>
      <c r="I87" t="s">
        <v>302</v>
      </c>
      <c r="J87" t="s">
        <v>26</v>
      </c>
      <c r="K87">
        <v>11</v>
      </c>
      <c r="M87" t="s">
        <v>172</v>
      </c>
      <c r="N87" t="s">
        <v>205</v>
      </c>
      <c r="O87" t="s">
        <v>231</v>
      </c>
      <c r="P87">
        <v>1984</v>
      </c>
      <c r="Q87">
        <v>1984</v>
      </c>
      <c r="R87">
        <v>40</v>
      </c>
      <c r="S87">
        <v>40</v>
      </c>
      <c r="T87">
        <v>40</v>
      </c>
      <c r="U87">
        <v>1</v>
      </c>
      <c r="V87">
        <v>2404</v>
      </c>
      <c r="W87">
        <v>0</v>
      </c>
      <c r="X87">
        <v>0</v>
      </c>
      <c r="Y87">
        <v>2404</v>
      </c>
      <c r="Z87">
        <v>0</v>
      </c>
      <c r="AA87">
        <v>2404</v>
      </c>
      <c r="AB87">
        <v>2404</v>
      </c>
      <c r="AC87">
        <v>2500</v>
      </c>
      <c r="AD87">
        <v>0</v>
      </c>
      <c r="AF87" t="s">
        <v>276</v>
      </c>
      <c r="AG87" t="s">
        <v>274</v>
      </c>
      <c r="AI87">
        <v>1</v>
      </c>
      <c r="AJ87">
        <v>0</v>
      </c>
      <c r="AK87">
        <v>0</v>
      </c>
      <c r="AL87">
        <v>0</v>
      </c>
      <c r="AM87">
        <v>0</v>
      </c>
      <c r="AN87">
        <v>9</v>
      </c>
      <c r="AO87">
        <v>0</v>
      </c>
      <c r="AP87">
        <v>0</v>
      </c>
      <c r="AQ87">
        <v>0</v>
      </c>
      <c r="AR87">
        <v>0</v>
      </c>
      <c r="AS87">
        <v>2300</v>
      </c>
      <c r="AT87">
        <v>0</v>
      </c>
      <c r="AU87">
        <v>2300</v>
      </c>
      <c r="AV87">
        <v>100</v>
      </c>
      <c r="AW87">
        <v>100</v>
      </c>
      <c r="AX87">
        <v>405210</v>
      </c>
      <c r="AY87">
        <v>303908</v>
      </c>
      <c r="AZ87">
        <v>426</v>
      </c>
      <c r="BA87">
        <v>365</v>
      </c>
      <c r="BB87">
        <v>61</v>
      </c>
      <c r="BC87">
        <v>0</v>
      </c>
      <c r="BD87" s="6">
        <v>44866</v>
      </c>
      <c r="BE87" t="s">
        <v>279</v>
      </c>
      <c r="BF87">
        <v>360000</v>
      </c>
      <c r="BG87">
        <v>360000</v>
      </c>
      <c r="BH87" t="s">
        <v>198</v>
      </c>
      <c r="BI87">
        <v>30</v>
      </c>
      <c r="BJ87" t="s">
        <v>51</v>
      </c>
      <c r="BK87" t="s">
        <v>314</v>
      </c>
      <c r="BL87">
        <v>628900</v>
      </c>
      <c r="BM87">
        <v>160500</v>
      </c>
      <c r="BN87">
        <v>468400</v>
      </c>
      <c r="BO87">
        <v>0</v>
      </c>
      <c r="BP87">
        <v>1.7469444444444444</v>
      </c>
      <c r="BQ87">
        <v>471883.91777807841</v>
      </c>
      <c r="BR87">
        <v>523809.21687608853</v>
      </c>
      <c r="BS87" s="7">
        <f>(BR87-BL87)/BL87</f>
        <v>-0.16710253319114562</v>
      </c>
      <c r="BT87" s="14">
        <f>(Sales[[#This Row],[DP1]]*Lookups!$B$51)+(Sales[[#This Row],[DP2]]*Lookups!$B$52)+(Sales[[#This Row],[DP3]]*Lookups!$B$53)</f>
        <v>-51925.312694000007</v>
      </c>
      <c r="BU87" s="14">
        <f>Lookups!$B$48*0.5</f>
        <v>87214.824999999997</v>
      </c>
      <c r="BV87" s="14">
        <f>Lookups!$B$48*0.5</f>
        <v>87214.824999999997</v>
      </c>
      <c r="BW87" s="14">
        <f>Lookups!$B$49*Sales[[#This Row],[LnAcres]]</f>
        <v>46064.992780028762</v>
      </c>
      <c r="BX87" s="14">
        <f>VLOOKUP(Sales[[#This Row],[Qlty]],Lookups!$A$54:$E$67,2,FALSE)</f>
        <v>30313.66692</v>
      </c>
      <c r="BY87" s="14">
        <f>VLOOKUP(Sales[[#This Row],[Cnd]],Lookups!$A$68:$E$76,2,FALSE)</f>
        <v>0</v>
      </c>
      <c r="BZ87" s="14">
        <f>Sales[[#This Row],[Age]]*Lookups!$B$77</f>
        <v>7380.4971999999998</v>
      </c>
      <c r="CA87" s="14">
        <f>Sales[[#This Row],[MainFn]]*Lookups!$B$78</f>
        <v>166076.63543600001</v>
      </c>
      <c r="CB87" s="14">
        <f>Sales[[#This Row],[UpprFn]]*Lookups!$B$79</f>
        <v>0</v>
      </c>
      <c r="CC87" s="14">
        <f>Sales[[#This Row],[AddFn]]*Lookups!$B$80</f>
        <v>0</v>
      </c>
      <c r="CD87" s="14">
        <f>Sales[[#This Row],[Bsmt]]*Lookups!$B$81</f>
        <v>68775.213831999994</v>
      </c>
      <c r="CE87" s="14">
        <f>Sales[[#This Row],[Fixtures]]*Lookups!$B$84</f>
        <v>91395.900000000009</v>
      </c>
      <c r="CF87" s="14">
        <f>Sales[[#This Row],[MsnryFP]]*Lookups!$B$82</f>
        <v>0</v>
      </c>
      <c r="CG87" s="14">
        <f>Sales[[#This Row],[PrefabFP]]*Lookups!$B$83</f>
        <v>0</v>
      </c>
      <c r="CH87" s="14">
        <f>Sales[[#This Row],[GarageArea]]*Lookups!$B$85</f>
        <v>0</v>
      </c>
      <c r="CI87" s="14">
        <f>SUM(Sales[[#This Row],[Days Prior Total]:[Mdl GarageArea]])</f>
        <v>532511.24347402877</v>
      </c>
      <c r="CJ87" s="14">
        <f>ROUND(Sales[[#This Row],[25Det]],-2)</f>
        <v>0</v>
      </c>
      <c r="CK87" s="14">
        <f>ROUND(SUM(Sales[[#This Row],[Mdl Qlty]:[Mdl GarageArea]])+Sales[[#This Row],[Mdl Res Intercept]]+Sales[[#This Row],[Days Prior Total]],-2)</f>
        <v>399200</v>
      </c>
      <c r="CL87" s="14">
        <f>ROUND(Sales[[#This Row],[Mdl Land Intercept]]+Sales[[#This Row],[Mdl LnAcres]],-2)</f>
        <v>133300</v>
      </c>
      <c r="CM87" s="14">
        <f>Sales[[#This Row],[Unadj Res Value]]+Sales[[#This Row],[Unadj Det Value]]+Sales[[#This Row],[Unadj Land Value]]</f>
        <v>532500</v>
      </c>
      <c r="CN87" s="15">
        <f>Sales[[#This Row],[Unadj Total Value]]/Sales[[#This Row],[Price]]</f>
        <v>1.4791666666666667</v>
      </c>
      <c r="CO87" s="15">
        <f>(Sales[[#This Row],[Unadj Total Value]]-Sales[[#This Row],[24Final]])/Sales[[#This Row],[24Final]]</f>
        <v>-0.15328351089203371</v>
      </c>
      <c r="CP87">
        <f>VLOOKUP(Sales[[#This Row],[TNbhd]],Lookups!$M$2:$P$4,4,FALSE)</f>
        <v>0.97570000000000001</v>
      </c>
      <c r="CQ87">
        <f>VLOOKUP(Sales[[#This Row],[Qlty]],Lookups!$M$6:$P$20,4,FALSE)</f>
        <v>0.85299999999999998</v>
      </c>
      <c r="CR87">
        <f>VLOOKUP(Sales[[#This Row],[Cnd]],Lookups!$R$6:$U$15,4,FALSE)</f>
        <v>0.9677</v>
      </c>
      <c r="CS87">
        <f>VLOOKUP(Sales[[#This Row],[LivArea Range]],Lookups!$R$23:$U$39,4,FALSE)</f>
        <v>0.93440000000000001</v>
      </c>
      <c r="CT87">
        <f>VLOOKUP(Sales[[#This Row],[Decade]],Lookups!$M$23:$P$35,4,FALSE)</f>
        <v>0.91679999999999995</v>
      </c>
      <c r="CU87">
        <f>Sales[[#This Row],[Nbhd Adj]]*0.95</f>
        <v>0.92691499999999993</v>
      </c>
      <c r="CV87">
        <f>Sales[[#This Row],[Nbhd Adj]]*Sales[[#This Row],[Quality Adj]]*Sales[[#This Row],[Condition Adj]]*Sales[[#This Row],[Living Area Adj]]*Sales[[#This Row],[Decade Adj]]*0.95</f>
        <v>0.6554463010222783</v>
      </c>
      <c r="CW87">
        <f>ROUND(SUM(Sales[[#This Row],[Mdl Qlty]:[Mdl GarageArea]])+Sales[[#This Row],[Mdl Res Intercept]]*Sales[[#This Row],[Res Adj ]],-2)</f>
        <v>421100</v>
      </c>
      <c r="CX87">
        <f>ROUND(Sales[[#This Row],[25Det]]*Sales[[#This Row],[Det/Nbhd Adj]],-2)</f>
        <v>0</v>
      </c>
      <c r="CY87">
        <f>Sales[[#This Row],[Adjusted Res]]+Sales[[#This Row],[Adj Det ]]</f>
        <v>421100</v>
      </c>
      <c r="CZ87">
        <f>ROUND((Sales[[#This Row],[Mdl Land Intercept]]+Sales[[#This Row],[Mdl LnAcres]])*Sales[[#This Row],[Det/Nbhd Adj]],-2)</f>
        <v>123500</v>
      </c>
      <c r="DA87">
        <f>Sales[[#This Row],[Adjusted Impr Total]]+Sales[[#This Row],[Adjusted Land Total]]</f>
        <v>544600</v>
      </c>
      <c r="DB87">
        <f>IFERROR((Sales[[#This Row],[Adjusted Impr Total]]-Sales[[#This Row],[24Bldg]])/Sales[[#This Row],[24Bldg]],0)</f>
        <v>-0.10098206660973527</v>
      </c>
      <c r="DC87">
        <f>(Sales[[#This Row],[Adjusted Land Total]]-Sales[[#This Row],[24Lnd]])/Sales[[#This Row],[24Lnd]]</f>
        <v>-0.23052959501557632</v>
      </c>
      <c r="DD87">
        <f>(Sales[[#This Row],[Adjusted Total]]-Sales[[#This Row],[24Final]])/Sales[[#This Row],[24Final]]</f>
        <v>-0.13404356813483861</v>
      </c>
      <c r="DE87">
        <f>(Sales[[#This Row],[Adjusted Total]]+Sales[[#This Row],[Days Prior Total]])/Sales[[#This Row],[Price]]</f>
        <v>1.3685407980722222</v>
      </c>
    </row>
    <row r="88" spans="1:109" x14ac:dyDescent="0.3">
      <c r="A88">
        <v>2025</v>
      </c>
      <c r="B88">
        <v>18131533438</v>
      </c>
      <c r="C88">
        <v>-1.3862943611198906</v>
      </c>
      <c r="D88">
        <v>0.25</v>
      </c>
      <c r="E88">
        <v>10793</v>
      </c>
      <c r="F88">
        <v>5</v>
      </c>
      <c r="G88" t="s">
        <v>89</v>
      </c>
      <c r="H88">
        <v>3042</v>
      </c>
      <c r="I88" t="s">
        <v>302</v>
      </c>
      <c r="J88" t="s">
        <v>26</v>
      </c>
      <c r="K88">
        <v>11</v>
      </c>
      <c r="L88">
        <v>259</v>
      </c>
      <c r="M88" t="s">
        <v>256</v>
      </c>
      <c r="N88" t="s">
        <v>111</v>
      </c>
      <c r="O88" t="s">
        <v>207</v>
      </c>
      <c r="P88">
        <v>1984</v>
      </c>
      <c r="Q88">
        <v>1984</v>
      </c>
      <c r="R88">
        <v>40</v>
      </c>
      <c r="S88">
        <v>40</v>
      </c>
      <c r="T88">
        <v>40</v>
      </c>
      <c r="U88">
        <v>1</v>
      </c>
      <c r="V88">
        <v>1611</v>
      </c>
      <c r="W88">
        <v>0</v>
      </c>
      <c r="X88">
        <v>0</v>
      </c>
      <c r="Y88">
        <v>552</v>
      </c>
      <c r="Z88">
        <v>552</v>
      </c>
      <c r="AA88">
        <v>0</v>
      </c>
      <c r="AB88">
        <v>2163</v>
      </c>
      <c r="AC88">
        <v>2500</v>
      </c>
      <c r="AD88">
        <v>2</v>
      </c>
      <c r="AE88" t="s">
        <v>132</v>
      </c>
      <c r="AF88" t="s">
        <v>275</v>
      </c>
      <c r="AG88" t="s">
        <v>111</v>
      </c>
      <c r="AH88" t="s">
        <v>314</v>
      </c>
      <c r="AI88">
        <v>0</v>
      </c>
      <c r="AJ88">
        <v>0</v>
      </c>
      <c r="AK88">
        <v>2</v>
      </c>
      <c r="AL88">
        <v>0</v>
      </c>
      <c r="AM88">
        <v>0</v>
      </c>
      <c r="AN88">
        <v>15</v>
      </c>
      <c r="AO88">
        <v>0</v>
      </c>
      <c r="AP88">
        <v>440</v>
      </c>
      <c r="AQ88">
        <v>440</v>
      </c>
      <c r="AR88">
        <v>0</v>
      </c>
      <c r="AS88">
        <v>806</v>
      </c>
      <c r="AT88">
        <v>544</v>
      </c>
      <c r="AU88">
        <v>0</v>
      </c>
      <c r="AV88">
        <v>100</v>
      </c>
      <c r="AW88">
        <v>100</v>
      </c>
      <c r="AX88">
        <v>435979</v>
      </c>
      <c r="AY88">
        <v>370582</v>
      </c>
      <c r="AZ88">
        <v>903</v>
      </c>
      <c r="BA88">
        <v>365</v>
      </c>
      <c r="BB88">
        <v>365</v>
      </c>
      <c r="BC88">
        <v>173</v>
      </c>
      <c r="BD88" s="6">
        <v>44389</v>
      </c>
      <c r="BE88" t="s">
        <v>192</v>
      </c>
      <c r="BF88">
        <v>612000</v>
      </c>
      <c r="BG88">
        <v>556232</v>
      </c>
      <c r="BH88" t="s">
        <v>198</v>
      </c>
      <c r="BI88">
        <v>30</v>
      </c>
      <c r="BJ88" t="s">
        <v>51</v>
      </c>
      <c r="BK88" t="s">
        <v>314</v>
      </c>
      <c r="BL88">
        <v>541900</v>
      </c>
      <c r="BM88">
        <v>81800</v>
      </c>
      <c r="BN88">
        <v>460100</v>
      </c>
      <c r="BO88">
        <v>55768</v>
      </c>
      <c r="BP88">
        <v>0.88545751633986924</v>
      </c>
      <c r="BQ88">
        <v>489564.14854911668</v>
      </c>
      <c r="BR88">
        <v>565950.89205732848</v>
      </c>
      <c r="BS88" s="7">
        <f>(BR88-BL88)/BL88</f>
        <v>4.4382528247515193E-2</v>
      </c>
      <c r="BT88" s="14">
        <f>(Sales[[#This Row],[DP1]]*Lookups!$B$51)+(Sales[[#This Row],[DP2]]*Lookups!$B$52)+(Sales[[#This Row],[DP3]]*Lookups!$B$53)</f>
        <v>-76386.748710000014</v>
      </c>
      <c r="BU88" s="14">
        <f>Lookups!$B$48*0.5</f>
        <v>87214.824999999997</v>
      </c>
      <c r="BV88" s="14">
        <f>Lookups!$B$48*0.5</f>
        <v>87214.824999999997</v>
      </c>
      <c r="BW88" s="14">
        <f>Lookups!$B$49*Sales[[#This Row],[LnAcres]]</f>
        <v>-34695.961780777012</v>
      </c>
      <c r="BX88" s="14">
        <f>VLOOKUP(Sales[[#This Row],[Qlty]],Lookups!$A$54:$E$67,2,FALSE)</f>
        <v>-14329.694740000001</v>
      </c>
      <c r="BY88" s="14">
        <f>VLOOKUP(Sales[[#This Row],[Cnd]],Lookups!$A$68:$E$76,2,FALSE)</f>
        <v>47273.897095</v>
      </c>
      <c r="BZ88" s="14">
        <f>Sales[[#This Row],[Age]]*Lookups!$B$77</f>
        <v>7380.4971999999998</v>
      </c>
      <c r="CA88" s="14">
        <f>Sales[[#This Row],[MainFn]]*Lookups!$B$78</f>
        <v>111293.452449</v>
      </c>
      <c r="CB88" s="14">
        <f>Sales[[#This Row],[UpprFn]]*Lookups!$B$79</f>
        <v>0</v>
      </c>
      <c r="CC88" s="14">
        <f>Sales[[#This Row],[AddFn]]*Lookups!$B$80</f>
        <v>0</v>
      </c>
      <c r="CD88" s="14">
        <f>Sales[[#This Row],[Bsmt]]*Lookups!$B$81</f>
        <v>15791.979216</v>
      </c>
      <c r="CE88" s="14">
        <f>Sales[[#This Row],[Fixtures]]*Lookups!$B$84</f>
        <v>152326.5</v>
      </c>
      <c r="CF88" s="14">
        <f>Sales[[#This Row],[MsnryFP]]*Lookups!$B$82</f>
        <v>0</v>
      </c>
      <c r="CG88" s="14">
        <f>Sales[[#This Row],[PrefabFP]]*Lookups!$B$83</f>
        <v>84182.043999999994</v>
      </c>
      <c r="CH88" s="14">
        <f>Sales[[#This Row],[GarageArea]]*Lookups!$B$85</f>
        <v>22298.538680000001</v>
      </c>
      <c r="CI88" s="14">
        <f>SUM(Sales[[#This Row],[Days Prior Total]:[Mdl GarageArea]])</f>
        <v>489564.15340922296</v>
      </c>
      <c r="CJ88" s="14">
        <f>ROUND(Sales[[#This Row],[25Det]],-2)</f>
        <v>55800</v>
      </c>
      <c r="CK88" s="14">
        <f>ROUND(SUM(Sales[[#This Row],[Mdl Qlty]:[Mdl GarageArea]])+Sales[[#This Row],[Mdl Res Intercept]]+Sales[[#This Row],[Days Prior Total]],-2)</f>
        <v>437000</v>
      </c>
      <c r="CL88" s="14">
        <f>ROUND(Sales[[#This Row],[Mdl Land Intercept]]+Sales[[#This Row],[Mdl LnAcres]],-2)</f>
        <v>52500</v>
      </c>
      <c r="CM88" s="14">
        <f>Sales[[#This Row],[Unadj Res Value]]+Sales[[#This Row],[Unadj Det Value]]+Sales[[#This Row],[Unadj Land Value]]</f>
        <v>545300</v>
      </c>
      <c r="CN88" s="15">
        <f>Sales[[#This Row],[Unadj Total Value]]/Sales[[#This Row],[Price]]</f>
        <v>0.89101307189542489</v>
      </c>
      <c r="CO88" s="15">
        <f>(Sales[[#This Row],[Unadj Total Value]]-Sales[[#This Row],[24Final]])/Sales[[#This Row],[24Final]]</f>
        <v>6.2742203358553241E-3</v>
      </c>
      <c r="CP88">
        <f>VLOOKUP(Sales[[#This Row],[TNbhd]],Lookups!$M$2:$P$4,4,FALSE)</f>
        <v>0.97570000000000001</v>
      </c>
      <c r="CQ88">
        <f>VLOOKUP(Sales[[#This Row],[Qlty]],Lookups!$M$6:$P$20,4,FALSE)</f>
        <v>0.98809999999999998</v>
      </c>
      <c r="CR88">
        <f>VLOOKUP(Sales[[#This Row],[Cnd]],Lookups!$R$6:$U$15,4,FALSE)</f>
        <v>0.97829999999999995</v>
      </c>
      <c r="CS88">
        <f>VLOOKUP(Sales[[#This Row],[LivArea Range]],Lookups!$R$23:$U$39,4,FALSE)</f>
        <v>0.93440000000000001</v>
      </c>
      <c r="CT88">
        <f>VLOOKUP(Sales[[#This Row],[Decade]],Lookups!$M$23:$P$35,4,FALSE)</f>
        <v>0.91679999999999995</v>
      </c>
      <c r="CU88">
        <f>Sales[[#This Row],[Nbhd Adj]]*0.95</f>
        <v>0.92691499999999993</v>
      </c>
      <c r="CV88">
        <f>Sales[[#This Row],[Nbhd Adj]]*Sales[[#This Row],[Quality Adj]]*Sales[[#This Row],[Condition Adj]]*Sales[[#This Row],[Living Area Adj]]*Sales[[#This Row],[Decade Adj]]*0.95</f>
        <v>0.76757407425886937</v>
      </c>
      <c r="CW88">
        <f>ROUND(SUM(Sales[[#This Row],[Mdl Qlty]:[Mdl GarageArea]])+Sales[[#This Row],[Mdl Res Intercept]]*Sales[[#This Row],[Res Adj ]],-2)</f>
        <v>493200</v>
      </c>
      <c r="CX88">
        <f>ROUND(Sales[[#This Row],[25Det]]*Sales[[#This Row],[Det/Nbhd Adj]],-2)</f>
        <v>51700</v>
      </c>
      <c r="CY88">
        <f>Sales[[#This Row],[Adjusted Res]]+Sales[[#This Row],[Adj Det ]]</f>
        <v>544900</v>
      </c>
      <c r="CZ88">
        <f>ROUND((Sales[[#This Row],[Mdl Land Intercept]]+Sales[[#This Row],[Mdl LnAcres]])*Sales[[#This Row],[Det/Nbhd Adj]],-2)</f>
        <v>48700</v>
      </c>
      <c r="DA88">
        <f>Sales[[#This Row],[Adjusted Impr Total]]+Sales[[#This Row],[Adjusted Land Total]]</f>
        <v>593600</v>
      </c>
      <c r="DB88">
        <f>IFERROR((Sales[[#This Row],[Adjusted Impr Total]]-Sales[[#This Row],[24Bldg]])/Sales[[#This Row],[24Bldg]],0)</f>
        <v>0.18430775918278636</v>
      </c>
      <c r="DC88">
        <f>(Sales[[#This Row],[Adjusted Land Total]]-Sales[[#This Row],[24Lnd]])/Sales[[#This Row],[24Lnd]]</f>
        <v>-0.40464547677261614</v>
      </c>
      <c r="DD88">
        <f>(Sales[[#This Row],[Adjusted Total]]-Sales[[#This Row],[24Final]])/Sales[[#This Row],[24Final]]</f>
        <v>9.5405056283447129E-2</v>
      </c>
      <c r="DE88">
        <f>(Sales[[#This Row],[Adjusted Total]]+Sales[[#This Row],[Days Prior Total]])/Sales[[#This Row],[Price]]</f>
        <v>0.84511969165032674</v>
      </c>
    </row>
    <row r="89" spans="1:109" x14ac:dyDescent="0.3">
      <c r="A89">
        <v>2025</v>
      </c>
      <c r="B89">
        <v>18131532421</v>
      </c>
      <c r="C89">
        <v>-1.6094379124341003</v>
      </c>
      <c r="D89">
        <v>0.2</v>
      </c>
      <c r="E89">
        <v>8602</v>
      </c>
      <c r="F89">
        <v>5</v>
      </c>
      <c r="G89" t="s">
        <v>89</v>
      </c>
      <c r="H89">
        <v>3041</v>
      </c>
      <c r="I89" t="s">
        <v>302</v>
      </c>
      <c r="J89" t="s">
        <v>26</v>
      </c>
      <c r="K89">
        <v>11</v>
      </c>
      <c r="L89">
        <v>259</v>
      </c>
      <c r="M89" t="s">
        <v>256</v>
      </c>
      <c r="N89" t="s">
        <v>111</v>
      </c>
      <c r="O89" t="s">
        <v>207</v>
      </c>
      <c r="P89">
        <v>1984</v>
      </c>
      <c r="Q89">
        <v>1984</v>
      </c>
      <c r="R89">
        <v>40</v>
      </c>
      <c r="S89">
        <v>40</v>
      </c>
      <c r="T89">
        <v>40</v>
      </c>
      <c r="U89">
        <v>1</v>
      </c>
      <c r="V89">
        <v>1696</v>
      </c>
      <c r="W89">
        <v>0</v>
      </c>
      <c r="X89">
        <v>0</v>
      </c>
      <c r="Y89">
        <v>528</v>
      </c>
      <c r="Z89">
        <v>528</v>
      </c>
      <c r="AA89">
        <v>0</v>
      </c>
      <c r="AB89">
        <v>2224</v>
      </c>
      <c r="AC89">
        <v>2500</v>
      </c>
      <c r="AD89">
        <v>2</v>
      </c>
      <c r="AE89" t="s">
        <v>5</v>
      </c>
      <c r="AF89" t="s">
        <v>153</v>
      </c>
      <c r="AG89" t="s">
        <v>274</v>
      </c>
      <c r="AI89">
        <v>0</v>
      </c>
      <c r="AJ89">
        <v>1</v>
      </c>
      <c r="AK89">
        <v>0</v>
      </c>
      <c r="AL89">
        <v>1</v>
      </c>
      <c r="AM89">
        <v>1</v>
      </c>
      <c r="AN89">
        <v>11</v>
      </c>
      <c r="AO89">
        <v>0</v>
      </c>
      <c r="AP89">
        <v>528</v>
      </c>
      <c r="AQ89">
        <v>528</v>
      </c>
      <c r="AR89">
        <v>0</v>
      </c>
      <c r="AS89">
        <v>422</v>
      </c>
      <c r="AT89">
        <v>0</v>
      </c>
      <c r="AU89">
        <v>0</v>
      </c>
      <c r="AV89">
        <v>100</v>
      </c>
      <c r="AW89">
        <v>100</v>
      </c>
      <c r="AX89">
        <v>437198</v>
      </c>
      <c r="AY89">
        <v>371618</v>
      </c>
      <c r="AZ89">
        <v>752</v>
      </c>
      <c r="BA89">
        <v>365</v>
      </c>
      <c r="BB89">
        <v>365</v>
      </c>
      <c r="BC89">
        <v>22</v>
      </c>
      <c r="BD89" s="6">
        <v>44540</v>
      </c>
      <c r="BE89" t="s">
        <v>285</v>
      </c>
      <c r="BF89">
        <v>405000</v>
      </c>
      <c r="BG89">
        <v>401595</v>
      </c>
      <c r="BH89" t="s">
        <v>198</v>
      </c>
      <c r="BI89">
        <v>30</v>
      </c>
      <c r="BJ89" t="s">
        <v>51</v>
      </c>
      <c r="BK89" t="s">
        <v>314</v>
      </c>
      <c r="BL89">
        <v>453500</v>
      </c>
      <c r="BM89">
        <v>69100</v>
      </c>
      <c r="BN89">
        <v>384400</v>
      </c>
      <c r="BO89">
        <v>3405</v>
      </c>
      <c r="BP89">
        <v>1.1197530864197531</v>
      </c>
      <c r="BQ89">
        <v>440692.21428523021</v>
      </c>
      <c r="BR89">
        <v>470482.46451181959</v>
      </c>
      <c r="BS89" s="7">
        <f>(BR89-BL89)/BL89</f>
        <v>3.7447551293979253E-2</v>
      </c>
      <c r="BT89" s="14">
        <f>(Sales[[#This Row],[DP1]]*Lookups!$B$51)+(Sales[[#This Row],[DP2]]*Lookups!$B$52)+(Sales[[#This Row],[DP3]]*Lookups!$B$53)</f>
        <v>-29790.262710000003</v>
      </c>
      <c r="BU89" s="14">
        <f>Lookups!$B$48*0.5</f>
        <v>87214.824999999997</v>
      </c>
      <c r="BV89" s="14">
        <f>Lookups!$B$48*0.5</f>
        <v>87214.824999999997</v>
      </c>
      <c r="BW89" s="14">
        <f>Lookups!$B$49*Sales[[#This Row],[LnAcres]]</f>
        <v>-40280.764218962147</v>
      </c>
      <c r="BX89" s="14">
        <f>VLOOKUP(Sales[[#This Row],[Qlty]],Lookups!$A$54:$E$67,2,FALSE)</f>
        <v>-14329.694740000001</v>
      </c>
      <c r="BY89" s="14">
        <f>VLOOKUP(Sales[[#This Row],[Cnd]],Lookups!$A$68:$E$76,2,FALSE)</f>
        <v>47273.897095</v>
      </c>
      <c r="BZ89" s="14">
        <f>Sales[[#This Row],[Age]]*Lookups!$B$77</f>
        <v>7380.4971999999998</v>
      </c>
      <c r="CA89" s="14">
        <f>Sales[[#This Row],[MainFn]]*Lookups!$B$78</f>
        <v>117165.54646400001</v>
      </c>
      <c r="CB89" s="14">
        <f>Sales[[#This Row],[UpprFn]]*Lookups!$B$79</f>
        <v>0</v>
      </c>
      <c r="CC89" s="14">
        <f>Sales[[#This Row],[AddFn]]*Lookups!$B$80</f>
        <v>0</v>
      </c>
      <c r="CD89" s="14">
        <f>Sales[[#This Row],[Bsmt]]*Lookups!$B$81</f>
        <v>15105.371423999999</v>
      </c>
      <c r="CE89" s="14">
        <f>Sales[[#This Row],[Fixtures]]*Lookups!$B$84</f>
        <v>111706.1</v>
      </c>
      <c r="CF89" s="14">
        <f>Sales[[#This Row],[MsnryFP]]*Lookups!$B$82</f>
        <v>25273.623</v>
      </c>
      <c r="CG89" s="14">
        <f>Sales[[#This Row],[PrefabFP]]*Lookups!$B$83</f>
        <v>0</v>
      </c>
      <c r="CH89" s="14">
        <f>Sales[[#This Row],[GarageArea]]*Lookups!$B$85</f>
        <v>26758.246416000002</v>
      </c>
      <c r="CI89" s="14">
        <f>SUM(Sales[[#This Row],[Days Prior Total]:[Mdl GarageArea]])</f>
        <v>440692.2099300379</v>
      </c>
      <c r="CJ89" s="14">
        <f>ROUND(Sales[[#This Row],[25Det]],-2)</f>
        <v>3400</v>
      </c>
      <c r="CK89" s="14">
        <f>ROUND(SUM(Sales[[#This Row],[Mdl Qlty]:[Mdl GarageArea]])+Sales[[#This Row],[Mdl Res Intercept]]+Sales[[#This Row],[Days Prior Total]],-2)</f>
        <v>393800</v>
      </c>
      <c r="CL89" s="14">
        <f>ROUND(Sales[[#This Row],[Mdl Land Intercept]]+Sales[[#This Row],[Mdl LnAcres]],-2)</f>
        <v>46900</v>
      </c>
      <c r="CM89" s="14">
        <f>Sales[[#This Row],[Unadj Res Value]]+Sales[[#This Row],[Unadj Det Value]]+Sales[[#This Row],[Unadj Land Value]]</f>
        <v>444100</v>
      </c>
      <c r="CN89" s="15">
        <f>Sales[[#This Row],[Unadj Total Value]]/Sales[[#This Row],[Price]]</f>
        <v>1.0965432098765433</v>
      </c>
      <c r="CO89" s="15">
        <f>(Sales[[#This Row],[Unadj Total Value]]-Sales[[#This Row],[24Final]])/Sales[[#This Row],[24Final]]</f>
        <v>-2.0727673649393607E-2</v>
      </c>
      <c r="CP89">
        <f>VLOOKUP(Sales[[#This Row],[TNbhd]],Lookups!$M$2:$P$4,4,FALSE)</f>
        <v>0.97570000000000001</v>
      </c>
      <c r="CQ89">
        <f>VLOOKUP(Sales[[#This Row],[Qlty]],Lookups!$M$6:$P$20,4,FALSE)</f>
        <v>0.98809999999999998</v>
      </c>
      <c r="CR89">
        <f>VLOOKUP(Sales[[#This Row],[Cnd]],Lookups!$R$6:$U$15,4,FALSE)</f>
        <v>0.97829999999999995</v>
      </c>
      <c r="CS89">
        <f>VLOOKUP(Sales[[#This Row],[LivArea Range]],Lookups!$R$23:$U$39,4,FALSE)</f>
        <v>0.93440000000000001</v>
      </c>
      <c r="CT89">
        <f>VLOOKUP(Sales[[#This Row],[Decade]],Lookups!$M$23:$P$35,4,FALSE)</f>
        <v>0.91679999999999995</v>
      </c>
      <c r="CU89">
        <f>Sales[[#This Row],[Nbhd Adj]]*0.95</f>
        <v>0.92691499999999993</v>
      </c>
      <c r="CV89">
        <f>Sales[[#This Row],[Nbhd Adj]]*Sales[[#This Row],[Quality Adj]]*Sales[[#This Row],[Condition Adj]]*Sales[[#This Row],[Living Area Adj]]*Sales[[#This Row],[Decade Adj]]*0.95</f>
        <v>0.76757407425886937</v>
      </c>
      <c r="CW89">
        <f>ROUND(SUM(Sales[[#This Row],[Mdl Qlty]:[Mdl GarageArea]])+Sales[[#This Row],[Mdl Res Intercept]]*Sales[[#This Row],[Res Adj ]],-2)</f>
        <v>403300</v>
      </c>
      <c r="CX89">
        <f>ROUND(Sales[[#This Row],[25Det]]*Sales[[#This Row],[Det/Nbhd Adj]],-2)</f>
        <v>3200</v>
      </c>
      <c r="CY89">
        <f>Sales[[#This Row],[Adjusted Res]]+Sales[[#This Row],[Adj Det ]]</f>
        <v>406500</v>
      </c>
      <c r="CZ89">
        <f>ROUND((Sales[[#This Row],[Mdl Land Intercept]]+Sales[[#This Row],[Mdl LnAcres]])*Sales[[#This Row],[Det/Nbhd Adj]],-2)</f>
        <v>43500</v>
      </c>
      <c r="DA89">
        <f>Sales[[#This Row],[Adjusted Impr Total]]+Sales[[#This Row],[Adjusted Land Total]]</f>
        <v>450000</v>
      </c>
      <c r="DB89">
        <f>IFERROR((Sales[[#This Row],[Adjusted Impr Total]]-Sales[[#This Row],[24Bldg]])/Sales[[#This Row],[24Bldg]],0)</f>
        <v>5.7492195629552552E-2</v>
      </c>
      <c r="DC89">
        <f>(Sales[[#This Row],[Adjusted Land Total]]-Sales[[#This Row],[24Lnd]])/Sales[[#This Row],[24Lnd]]</f>
        <v>-0.37047756874095511</v>
      </c>
      <c r="DD89">
        <f>(Sales[[#This Row],[Adjusted Total]]-Sales[[#This Row],[24Final]])/Sales[[#This Row],[24Final]]</f>
        <v>-7.717750826901874E-3</v>
      </c>
      <c r="DE89">
        <f>(Sales[[#This Row],[Adjusted Total]]+Sales[[#This Row],[Days Prior Total]])/Sales[[#This Row],[Price]]</f>
        <v>1.037554906888889</v>
      </c>
    </row>
    <row r="90" spans="1:109" x14ac:dyDescent="0.3">
      <c r="A90">
        <v>2025</v>
      </c>
      <c r="B90">
        <v>18131534482</v>
      </c>
      <c r="C90">
        <v>-2.6592600369327779</v>
      </c>
      <c r="D90">
        <v>7.0000000000000007E-2</v>
      </c>
      <c r="E90">
        <v>3026</v>
      </c>
      <c r="F90">
        <v>5</v>
      </c>
      <c r="G90" t="s">
        <v>25</v>
      </c>
      <c r="H90">
        <v>3042</v>
      </c>
      <c r="I90" t="s">
        <v>302</v>
      </c>
      <c r="J90" t="s">
        <v>109</v>
      </c>
      <c r="K90">
        <v>11</v>
      </c>
      <c r="L90">
        <v>262</v>
      </c>
      <c r="M90" t="s">
        <v>273</v>
      </c>
      <c r="N90" t="s">
        <v>111</v>
      </c>
      <c r="O90" t="s">
        <v>207</v>
      </c>
      <c r="P90">
        <v>1983</v>
      </c>
      <c r="Q90">
        <v>1983</v>
      </c>
      <c r="R90">
        <v>50</v>
      </c>
      <c r="S90">
        <v>41</v>
      </c>
      <c r="T90">
        <v>41</v>
      </c>
      <c r="U90">
        <v>1</v>
      </c>
      <c r="V90">
        <v>2026</v>
      </c>
      <c r="W90">
        <v>0</v>
      </c>
      <c r="X90">
        <v>0</v>
      </c>
      <c r="Y90">
        <v>660</v>
      </c>
      <c r="Z90">
        <v>660</v>
      </c>
      <c r="AA90">
        <v>0</v>
      </c>
      <c r="AB90">
        <v>2686</v>
      </c>
      <c r="AC90">
        <v>3000</v>
      </c>
      <c r="AD90">
        <v>2</v>
      </c>
      <c r="AE90" t="s">
        <v>5</v>
      </c>
      <c r="AF90" t="s">
        <v>275</v>
      </c>
      <c r="AG90" t="s">
        <v>111</v>
      </c>
      <c r="AH90" t="s">
        <v>314</v>
      </c>
      <c r="AI90">
        <v>1</v>
      </c>
      <c r="AJ90">
        <v>0</v>
      </c>
      <c r="AK90">
        <v>0</v>
      </c>
      <c r="AL90">
        <v>0</v>
      </c>
      <c r="AM90">
        <v>1</v>
      </c>
      <c r="AN90">
        <v>13</v>
      </c>
      <c r="AO90">
        <v>0</v>
      </c>
      <c r="AP90">
        <v>1000</v>
      </c>
      <c r="AQ90">
        <v>1000</v>
      </c>
      <c r="AR90">
        <v>0</v>
      </c>
      <c r="AS90">
        <v>140</v>
      </c>
      <c r="AT90">
        <v>0</v>
      </c>
      <c r="AU90">
        <v>0</v>
      </c>
      <c r="AV90">
        <v>100</v>
      </c>
      <c r="AW90">
        <v>100</v>
      </c>
      <c r="AX90">
        <v>460374</v>
      </c>
      <c r="AY90">
        <v>405129</v>
      </c>
      <c r="AZ90">
        <v>934</v>
      </c>
      <c r="BA90">
        <v>365</v>
      </c>
      <c r="BB90">
        <v>365</v>
      </c>
      <c r="BC90">
        <v>204</v>
      </c>
      <c r="BD90" s="6">
        <v>44358</v>
      </c>
      <c r="BE90" t="s">
        <v>38</v>
      </c>
      <c r="BF90">
        <v>349000</v>
      </c>
      <c r="BG90">
        <v>349000</v>
      </c>
      <c r="BH90" t="s">
        <v>198</v>
      </c>
      <c r="BI90">
        <v>30</v>
      </c>
      <c r="BJ90" t="s">
        <v>51</v>
      </c>
      <c r="BK90" t="s">
        <v>314</v>
      </c>
      <c r="BL90">
        <v>375200</v>
      </c>
      <c r="BM90">
        <v>56300</v>
      </c>
      <c r="BN90">
        <v>318900</v>
      </c>
      <c r="BO90">
        <v>0</v>
      </c>
      <c r="BP90">
        <v>1.0750716332378223</v>
      </c>
      <c r="BQ90">
        <v>403969.98989555106</v>
      </c>
      <c r="BR90">
        <v>489922.90089866548</v>
      </c>
      <c r="BS90" s="7">
        <f>(BR90-BL90)/BL90</f>
        <v>0.30576466124377794</v>
      </c>
      <c r="BT90" s="14">
        <f>(Sales[[#This Row],[DP1]]*Lookups!$B$51)+(Sales[[#This Row],[DP2]]*Lookups!$B$52)+(Sales[[#This Row],[DP3]]*Lookups!$B$53)</f>
        <v>-85952.914710000012</v>
      </c>
      <c r="BU90" s="14">
        <f>Lookups!$B$48*0.5</f>
        <v>87214.824999999997</v>
      </c>
      <c r="BV90" s="14">
        <f>Lookups!$B$48*0.5</f>
        <v>87214.824999999997</v>
      </c>
      <c r="BW90" s="14">
        <f>Lookups!$B$49*Sales[[#This Row],[LnAcres]]</f>
        <v>-66555.550678307874</v>
      </c>
      <c r="BX90" s="14">
        <f>VLOOKUP(Sales[[#This Row],[Qlty]],Lookups!$A$54:$E$67,2,FALSE)</f>
        <v>-14329.694740000001</v>
      </c>
      <c r="BY90" s="14">
        <f>VLOOKUP(Sales[[#This Row],[Cnd]],Lookups!$A$68:$E$76,2,FALSE)</f>
        <v>47273.897095</v>
      </c>
      <c r="BZ90" s="14">
        <f>Sales[[#This Row],[Age]]*Lookups!$B$77</f>
        <v>7565.0096299999996</v>
      </c>
      <c r="CA90" s="14">
        <f>Sales[[#This Row],[MainFn]]*Lookups!$B$78</f>
        <v>139963.08793400001</v>
      </c>
      <c r="CB90" s="14">
        <f>Sales[[#This Row],[UpprFn]]*Lookups!$B$79</f>
        <v>0</v>
      </c>
      <c r="CC90" s="14">
        <f>Sales[[#This Row],[AddFn]]*Lookups!$B$80</f>
        <v>0</v>
      </c>
      <c r="CD90" s="14">
        <f>Sales[[#This Row],[Bsmt]]*Lookups!$B$81</f>
        <v>18881.71428</v>
      </c>
      <c r="CE90" s="14">
        <f>Sales[[#This Row],[Fixtures]]*Lookups!$B$84</f>
        <v>132016.30000000002</v>
      </c>
      <c r="CF90" s="14">
        <f>Sales[[#This Row],[MsnryFP]]*Lookups!$B$82</f>
        <v>0</v>
      </c>
      <c r="CG90" s="14">
        <f>Sales[[#This Row],[PrefabFP]]*Lookups!$B$83</f>
        <v>0</v>
      </c>
      <c r="CH90" s="14">
        <f>Sales[[#This Row],[GarageArea]]*Lookups!$B$85</f>
        <v>50678.497000000003</v>
      </c>
      <c r="CI90" s="14">
        <f>SUM(Sales[[#This Row],[Days Prior Total]:[Mdl GarageArea]])</f>
        <v>403969.99581069208</v>
      </c>
      <c r="CJ90" s="14">
        <f>ROUND(Sales[[#This Row],[25Det]],-2)</f>
        <v>0</v>
      </c>
      <c r="CK90" s="14">
        <f>ROUND(SUM(Sales[[#This Row],[Mdl Qlty]:[Mdl GarageArea]])+Sales[[#This Row],[Mdl Res Intercept]]+Sales[[#This Row],[Days Prior Total]],-2)</f>
        <v>383300</v>
      </c>
      <c r="CL90" s="14">
        <f>ROUND(Sales[[#This Row],[Mdl Land Intercept]]+Sales[[#This Row],[Mdl LnAcres]],-2)</f>
        <v>20700</v>
      </c>
      <c r="CM90" s="14">
        <f>Sales[[#This Row],[Unadj Res Value]]+Sales[[#This Row],[Unadj Det Value]]+Sales[[#This Row],[Unadj Land Value]]</f>
        <v>404000</v>
      </c>
      <c r="CN90" s="15">
        <f>Sales[[#This Row],[Unadj Total Value]]/Sales[[#This Row],[Price]]</f>
        <v>1.157593123209169</v>
      </c>
      <c r="CO90" s="15">
        <f>(Sales[[#This Row],[Unadj Total Value]]-Sales[[#This Row],[24Final]])/Sales[[#This Row],[24Final]]</f>
        <v>7.6759061833688705E-2</v>
      </c>
      <c r="CP90">
        <f>VLOOKUP(Sales[[#This Row],[TNbhd]],Lookups!$M$2:$P$4,4,FALSE)</f>
        <v>0.97570000000000001</v>
      </c>
      <c r="CQ90">
        <f>VLOOKUP(Sales[[#This Row],[Qlty]],Lookups!$M$6:$P$20,4,FALSE)</f>
        <v>0.98809999999999998</v>
      </c>
      <c r="CR90">
        <f>VLOOKUP(Sales[[#This Row],[Cnd]],Lookups!$R$6:$U$15,4,FALSE)</f>
        <v>0.97829999999999995</v>
      </c>
      <c r="CS90">
        <f>VLOOKUP(Sales[[#This Row],[LivArea Range]],Lookups!$R$23:$U$39,4,FALSE)</f>
        <v>0.93310000000000004</v>
      </c>
      <c r="CT90">
        <f>VLOOKUP(Sales[[#This Row],[Decade]],Lookups!$M$23:$P$35,4,FALSE)</f>
        <v>1.0153000000000001</v>
      </c>
      <c r="CU90">
        <f>Sales[[#This Row],[Nbhd Adj]]*0.95</f>
        <v>0.92691499999999993</v>
      </c>
      <c r="CV90">
        <f>Sales[[#This Row],[Nbhd Adj]]*Sales[[#This Row],[Quality Adj]]*Sales[[#This Row],[Condition Adj]]*Sales[[#This Row],[Living Area Adj]]*Sales[[#This Row],[Decade Adj]]*0.95</f>
        <v>0.84885876760693768</v>
      </c>
      <c r="CW90">
        <f>ROUND(SUM(Sales[[#This Row],[Mdl Qlty]:[Mdl GarageArea]])+Sales[[#This Row],[Mdl Res Intercept]]*Sales[[#This Row],[Res Adj ]],-2)</f>
        <v>456100</v>
      </c>
      <c r="CX90">
        <f>ROUND(Sales[[#This Row],[25Det]]*Sales[[#This Row],[Det/Nbhd Adj]],-2)</f>
        <v>0</v>
      </c>
      <c r="CY90">
        <f>Sales[[#This Row],[Adjusted Res]]+Sales[[#This Row],[Adj Det ]]</f>
        <v>456100</v>
      </c>
      <c r="CZ90">
        <f>ROUND((Sales[[#This Row],[Mdl Land Intercept]]+Sales[[#This Row],[Mdl LnAcres]])*Sales[[#This Row],[Det/Nbhd Adj]],-2)</f>
        <v>19100</v>
      </c>
      <c r="DA90">
        <f>Sales[[#This Row],[Adjusted Impr Total]]+Sales[[#This Row],[Adjusted Land Total]]</f>
        <v>475200</v>
      </c>
      <c r="DB90">
        <f>IFERROR((Sales[[#This Row],[Adjusted Impr Total]]-Sales[[#This Row],[24Bldg]])/Sales[[#This Row],[24Bldg]],0)</f>
        <v>0.43022891188460333</v>
      </c>
      <c r="DC90">
        <f>(Sales[[#This Row],[Adjusted Land Total]]-Sales[[#This Row],[24Lnd]])/Sales[[#This Row],[24Lnd]]</f>
        <v>-0.66074600355239788</v>
      </c>
      <c r="DD90">
        <f>(Sales[[#This Row],[Adjusted Total]]-Sales[[#This Row],[24Final]])/Sales[[#This Row],[24Final]]</f>
        <v>0.26652452025586354</v>
      </c>
      <c r="DE90">
        <f>(Sales[[#This Row],[Adjusted Total]]+Sales[[#This Row],[Days Prior Total]])/Sales[[#This Row],[Price]]</f>
        <v>1.1153211612893981</v>
      </c>
    </row>
    <row r="91" spans="1:109" x14ac:dyDescent="0.3">
      <c r="A91">
        <v>2025</v>
      </c>
      <c r="B91">
        <v>18131534484</v>
      </c>
      <c r="C91">
        <v>-2.9957322735539909</v>
      </c>
      <c r="D91">
        <v>0.05</v>
      </c>
      <c r="E91">
        <v>1982</v>
      </c>
      <c r="F91">
        <v>5</v>
      </c>
      <c r="G91" t="s">
        <v>25</v>
      </c>
      <c r="H91">
        <v>3042</v>
      </c>
      <c r="I91" t="s">
        <v>302</v>
      </c>
      <c r="J91" t="s">
        <v>109</v>
      </c>
      <c r="K91">
        <v>11</v>
      </c>
      <c r="L91">
        <v>262</v>
      </c>
      <c r="M91" t="s">
        <v>273</v>
      </c>
      <c r="N91" t="s">
        <v>75</v>
      </c>
      <c r="O91" t="s">
        <v>207</v>
      </c>
      <c r="P91">
        <v>1983</v>
      </c>
      <c r="Q91">
        <v>1983</v>
      </c>
      <c r="R91">
        <v>50</v>
      </c>
      <c r="S91">
        <v>41</v>
      </c>
      <c r="T91">
        <v>41</v>
      </c>
      <c r="U91">
        <v>1</v>
      </c>
      <c r="V91">
        <v>1762</v>
      </c>
      <c r="W91">
        <v>0</v>
      </c>
      <c r="X91">
        <v>0</v>
      </c>
      <c r="Y91">
        <v>0</v>
      </c>
      <c r="Z91">
        <v>0</v>
      </c>
      <c r="AA91">
        <v>0</v>
      </c>
      <c r="AB91">
        <v>1762</v>
      </c>
      <c r="AC91">
        <v>2000</v>
      </c>
      <c r="AD91">
        <v>2</v>
      </c>
      <c r="AE91" t="s">
        <v>5</v>
      </c>
      <c r="AF91" t="s">
        <v>275</v>
      </c>
      <c r="AG91" t="s">
        <v>111</v>
      </c>
      <c r="AH91" t="s">
        <v>314</v>
      </c>
      <c r="AI91">
        <v>0</v>
      </c>
      <c r="AJ91">
        <v>1</v>
      </c>
      <c r="AK91">
        <v>0</v>
      </c>
      <c r="AL91">
        <v>1</v>
      </c>
      <c r="AM91">
        <v>0</v>
      </c>
      <c r="AN91">
        <v>10</v>
      </c>
      <c r="AO91">
        <v>220</v>
      </c>
      <c r="AP91">
        <v>0</v>
      </c>
      <c r="AQ91">
        <v>220</v>
      </c>
      <c r="AR91">
        <v>0</v>
      </c>
      <c r="AS91">
        <v>102</v>
      </c>
      <c r="AT91">
        <v>0</v>
      </c>
      <c r="AU91">
        <v>102</v>
      </c>
      <c r="AV91">
        <v>100</v>
      </c>
      <c r="AW91">
        <v>100</v>
      </c>
      <c r="AX91">
        <v>341308</v>
      </c>
      <c r="AY91">
        <v>293525</v>
      </c>
      <c r="AZ91">
        <v>613</v>
      </c>
      <c r="BA91">
        <v>365</v>
      </c>
      <c r="BB91">
        <v>248</v>
      </c>
      <c r="BC91">
        <v>0</v>
      </c>
      <c r="BD91" s="6">
        <v>44679</v>
      </c>
      <c r="BE91" t="s">
        <v>11</v>
      </c>
      <c r="BF91">
        <v>352000</v>
      </c>
      <c r="BG91">
        <v>352000</v>
      </c>
      <c r="BH91" t="s">
        <v>198</v>
      </c>
      <c r="BI91">
        <v>30</v>
      </c>
      <c r="BJ91" t="s">
        <v>51</v>
      </c>
      <c r="BK91" t="s">
        <v>314</v>
      </c>
      <c r="BL91">
        <v>355800</v>
      </c>
      <c r="BM91">
        <v>53400</v>
      </c>
      <c r="BN91">
        <v>302400</v>
      </c>
      <c r="BO91">
        <v>0</v>
      </c>
      <c r="BP91">
        <v>1.0107954545454545</v>
      </c>
      <c r="BQ91">
        <v>399046.95093236049</v>
      </c>
      <c r="BR91">
        <v>433180.21996016096</v>
      </c>
      <c r="BS91" s="7">
        <f>(BR91-BL91)/BL91</f>
        <v>0.21748234952265588</v>
      </c>
      <c r="BT91" s="14">
        <f>(Sales[[#This Row],[DP1]]*Lookups!$B$51)+(Sales[[#This Row],[DP2]]*Lookups!$B$52)+(Sales[[#This Row],[DP3]]*Lookups!$B$53)</f>
        <v>-34133.282592000003</v>
      </c>
      <c r="BU91" s="14">
        <f>Lookups!$B$48*0.5</f>
        <v>87214.824999999997</v>
      </c>
      <c r="BV91" s="14">
        <f>Lookups!$B$48*0.5</f>
        <v>87214.824999999997</v>
      </c>
      <c r="BW91" s="14">
        <f>Lookups!$B$49*Sales[[#This Row],[LnAcres]]</f>
        <v>-74976.725999739167</v>
      </c>
      <c r="BX91" s="14">
        <f>VLOOKUP(Sales[[#This Row],[Qlty]],Lookups!$A$54:$E$67,2,FALSE)</f>
        <v>19189.450408000001</v>
      </c>
      <c r="BY91" s="14">
        <f>VLOOKUP(Sales[[#This Row],[Cnd]],Lookups!$A$68:$E$76,2,FALSE)</f>
        <v>47273.897095</v>
      </c>
      <c r="BZ91" s="14">
        <f>Sales[[#This Row],[Age]]*Lookups!$B$77</f>
        <v>7565.0096299999996</v>
      </c>
      <c r="CA91" s="14">
        <f>Sales[[#This Row],[MainFn]]*Lookups!$B$78</f>
        <v>121725.05475800001</v>
      </c>
      <c r="CB91" s="14">
        <f>Sales[[#This Row],[UpprFn]]*Lookups!$B$79</f>
        <v>0</v>
      </c>
      <c r="CC91" s="14">
        <f>Sales[[#This Row],[AddFn]]*Lookups!$B$80</f>
        <v>0</v>
      </c>
      <c r="CD91" s="14">
        <f>Sales[[#This Row],[Bsmt]]*Lookups!$B$81</f>
        <v>0</v>
      </c>
      <c r="CE91" s="14">
        <f>Sales[[#This Row],[Fixtures]]*Lookups!$B$84</f>
        <v>101551</v>
      </c>
      <c r="CF91" s="14">
        <f>Sales[[#This Row],[MsnryFP]]*Lookups!$B$82</f>
        <v>25273.623</v>
      </c>
      <c r="CG91" s="14">
        <f>Sales[[#This Row],[PrefabFP]]*Lookups!$B$83</f>
        <v>0</v>
      </c>
      <c r="CH91" s="14">
        <f>Sales[[#This Row],[GarageArea]]*Lookups!$B$85</f>
        <v>11149.269340000001</v>
      </c>
      <c r="CI91" s="14">
        <f>SUM(Sales[[#This Row],[Days Prior Total]:[Mdl GarageArea]])</f>
        <v>399046.94563926081</v>
      </c>
      <c r="CJ91" s="14">
        <f>ROUND(Sales[[#This Row],[25Det]],-2)</f>
        <v>0</v>
      </c>
      <c r="CK91" s="14">
        <f>ROUND(SUM(Sales[[#This Row],[Mdl Qlty]:[Mdl GarageArea]])+Sales[[#This Row],[Mdl Res Intercept]]+Sales[[#This Row],[Days Prior Total]],-2)</f>
        <v>386800</v>
      </c>
      <c r="CL91" s="14">
        <f>ROUND(Sales[[#This Row],[Mdl Land Intercept]]+Sales[[#This Row],[Mdl LnAcres]],-2)</f>
        <v>12200</v>
      </c>
      <c r="CM91" s="14">
        <f>Sales[[#This Row],[Unadj Res Value]]+Sales[[#This Row],[Unadj Det Value]]+Sales[[#This Row],[Unadj Land Value]]</f>
        <v>399000</v>
      </c>
      <c r="CN91" s="15">
        <f>Sales[[#This Row],[Unadj Total Value]]/Sales[[#This Row],[Price]]</f>
        <v>1.1335227272727273</v>
      </c>
      <c r="CO91" s="15">
        <f>(Sales[[#This Row],[Unadj Total Value]]-Sales[[#This Row],[24Final]])/Sales[[#This Row],[24Final]]</f>
        <v>0.12141652613827993</v>
      </c>
      <c r="CP91">
        <f>VLOOKUP(Sales[[#This Row],[TNbhd]],Lookups!$M$2:$P$4,4,FALSE)</f>
        <v>0.97570000000000001</v>
      </c>
      <c r="CQ91">
        <f>VLOOKUP(Sales[[#This Row],[Qlty]],Lookups!$M$6:$P$20,4,FALSE)</f>
        <v>0.9819</v>
      </c>
      <c r="CR91">
        <f>VLOOKUP(Sales[[#This Row],[Cnd]],Lookups!$R$6:$U$15,4,FALSE)</f>
        <v>0.97829999999999995</v>
      </c>
      <c r="CS91">
        <f>VLOOKUP(Sales[[#This Row],[LivArea Range]],Lookups!$R$23:$U$39,4,FALSE)</f>
        <v>0.99099999999999999</v>
      </c>
      <c r="CT91">
        <f>VLOOKUP(Sales[[#This Row],[Decade]],Lookups!$M$23:$P$35,4,FALSE)</f>
        <v>1.0153000000000001</v>
      </c>
      <c r="CU91">
        <f>Sales[[#This Row],[Nbhd Adj]]*0.95</f>
        <v>0.92691499999999993</v>
      </c>
      <c r="CV91">
        <f>Sales[[#This Row],[Nbhd Adj]]*Sales[[#This Row],[Quality Adj]]*Sales[[#This Row],[Condition Adj]]*Sales[[#This Row],[Living Area Adj]]*Sales[[#This Row],[Decade Adj]]*0.95</f>
        <v>0.89587468443661111</v>
      </c>
      <c r="CW91">
        <f>ROUND(SUM(Sales[[#This Row],[Mdl Qlty]:[Mdl GarageArea]])+Sales[[#This Row],[Mdl Res Intercept]]*Sales[[#This Row],[Res Adj ]],-2)</f>
        <v>411900</v>
      </c>
      <c r="CX91">
        <f>ROUND(Sales[[#This Row],[25Det]]*Sales[[#This Row],[Det/Nbhd Adj]],-2)</f>
        <v>0</v>
      </c>
      <c r="CY91">
        <f>Sales[[#This Row],[Adjusted Res]]+Sales[[#This Row],[Adj Det ]]</f>
        <v>411900</v>
      </c>
      <c r="CZ91">
        <f>ROUND((Sales[[#This Row],[Mdl Land Intercept]]+Sales[[#This Row],[Mdl LnAcres]])*Sales[[#This Row],[Det/Nbhd Adj]],-2)</f>
        <v>11300</v>
      </c>
      <c r="DA91">
        <f>Sales[[#This Row],[Adjusted Impr Total]]+Sales[[#This Row],[Adjusted Land Total]]</f>
        <v>423200</v>
      </c>
      <c r="DB91">
        <f>IFERROR((Sales[[#This Row],[Adjusted Impr Total]]-Sales[[#This Row],[24Bldg]])/Sales[[#This Row],[24Bldg]],0)</f>
        <v>0.36210317460317459</v>
      </c>
      <c r="DC91">
        <f>(Sales[[#This Row],[Adjusted Land Total]]-Sales[[#This Row],[24Lnd]])/Sales[[#This Row],[24Lnd]]</f>
        <v>-0.78838951310861427</v>
      </c>
      <c r="DD91">
        <f>(Sales[[#This Row],[Adjusted Total]]-Sales[[#This Row],[24Final]])/Sales[[#This Row],[24Final]]</f>
        <v>0.18943226531759416</v>
      </c>
      <c r="DE91">
        <f>(Sales[[#This Row],[Adjusted Total]]+Sales[[#This Row],[Days Prior Total]])/Sales[[#This Row],[Price]]</f>
        <v>1.1053031744545456</v>
      </c>
    </row>
    <row r="92" spans="1:109" x14ac:dyDescent="0.3">
      <c r="A92">
        <v>2025</v>
      </c>
      <c r="B92">
        <v>18131524466</v>
      </c>
      <c r="C92">
        <v>-1.1711829815029451</v>
      </c>
      <c r="D92">
        <v>0.31</v>
      </c>
      <c r="E92">
        <v>13566</v>
      </c>
      <c r="F92">
        <v>5</v>
      </c>
      <c r="G92" t="s">
        <v>89</v>
      </c>
      <c r="H92">
        <v>3041</v>
      </c>
      <c r="I92" t="s">
        <v>302</v>
      </c>
      <c r="J92" t="s">
        <v>26</v>
      </c>
      <c r="K92">
        <v>11</v>
      </c>
      <c r="L92">
        <v>259</v>
      </c>
      <c r="M92" t="s">
        <v>204</v>
      </c>
      <c r="N92" t="s">
        <v>75</v>
      </c>
      <c r="O92" t="s">
        <v>207</v>
      </c>
      <c r="P92">
        <v>1983</v>
      </c>
      <c r="Q92">
        <v>1983</v>
      </c>
      <c r="R92">
        <v>50</v>
      </c>
      <c r="S92">
        <v>41</v>
      </c>
      <c r="T92">
        <v>41</v>
      </c>
      <c r="U92">
        <v>1</v>
      </c>
      <c r="V92">
        <v>2117</v>
      </c>
      <c r="W92">
        <v>0</v>
      </c>
      <c r="X92">
        <v>0</v>
      </c>
      <c r="Y92">
        <v>1008</v>
      </c>
      <c r="Z92">
        <v>1008</v>
      </c>
      <c r="AA92">
        <v>0</v>
      </c>
      <c r="AB92">
        <v>3125</v>
      </c>
      <c r="AC92">
        <v>3500</v>
      </c>
      <c r="AD92">
        <v>2</v>
      </c>
      <c r="AF92" t="s">
        <v>153</v>
      </c>
      <c r="AG92" t="s">
        <v>274</v>
      </c>
      <c r="AI92">
        <v>0</v>
      </c>
      <c r="AJ92">
        <v>1</v>
      </c>
      <c r="AK92">
        <v>0</v>
      </c>
      <c r="AL92">
        <v>1</v>
      </c>
      <c r="AM92">
        <v>1</v>
      </c>
      <c r="AN92">
        <v>14</v>
      </c>
      <c r="AO92">
        <v>480</v>
      </c>
      <c r="AP92">
        <v>0</v>
      </c>
      <c r="AQ92">
        <v>480</v>
      </c>
      <c r="AR92">
        <v>0</v>
      </c>
      <c r="AS92">
        <v>560</v>
      </c>
      <c r="AT92">
        <v>560</v>
      </c>
      <c r="AU92">
        <v>0</v>
      </c>
      <c r="AV92">
        <v>100</v>
      </c>
      <c r="AW92">
        <v>100</v>
      </c>
      <c r="AX92">
        <v>576686</v>
      </c>
      <c r="AY92">
        <v>495950</v>
      </c>
      <c r="AZ92">
        <v>770</v>
      </c>
      <c r="BA92">
        <v>365</v>
      </c>
      <c r="BB92">
        <v>365</v>
      </c>
      <c r="BC92">
        <v>40</v>
      </c>
      <c r="BD92" s="6">
        <v>44522</v>
      </c>
      <c r="BE92" t="s">
        <v>138</v>
      </c>
      <c r="BF92">
        <v>625000</v>
      </c>
      <c r="BG92">
        <v>625000</v>
      </c>
      <c r="BH92" t="s">
        <v>198</v>
      </c>
      <c r="BI92">
        <v>30</v>
      </c>
      <c r="BJ92" t="s">
        <v>51</v>
      </c>
      <c r="BK92" t="s">
        <v>314</v>
      </c>
      <c r="BL92">
        <v>567600</v>
      </c>
      <c r="BM92">
        <v>94000</v>
      </c>
      <c r="BN92">
        <v>473600</v>
      </c>
      <c r="BO92">
        <v>0</v>
      </c>
      <c r="BP92">
        <v>0.90815999999999997</v>
      </c>
      <c r="BQ92">
        <v>550658.92300056957</v>
      </c>
      <c r="BR92">
        <v>586003.7220951668</v>
      </c>
      <c r="BS92" s="7">
        <f>(BR92-BL92)/BL92</f>
        <v>3.2423752810371388E-2</v>
      </c>
      <c r="BT92" s="14">
        <f>(Sales[[#This Row],[DP1]]*Lookups!$B$51)+(Sales[[#This Row],[DP2]]*Lookups!$B$52)+(Sales[[#This Row],[DP3]]*Lookups!$B$53)</f>
        <v>-35344.810710000005</v>
      </c>
      <c r="BU92" s="14">
        <f>Lookups!$B$48*0.5</f>
        <v>87214.824999999997</v>
      </c>
      <c r="BV92" s="14">
        <f>Lookups!$B$48*0.5</f>
        <v>87214.824999999997</v>
      </c>
      <c r="BW92" s="14">
        <f>Lookups!$B$49*Sales[[#This Row],[LnAcres]]</f>
        <v>-29312.187298876561</v>
      </c>
      <c r="BX92" s="14">
        <f>VLOOKUP(Sales[[#This Row],[Qlty]],Lookups!$A$54:$E$67,2,FALSE)</f>
        <v>19189.450408000001</v>
      </c>
      <c r="BY92" s="14">
        <f>VLOOKUP(Sales[[#This Row],[Cnd]],Lookups!$A$68:$E$76,2,FALSE)</f>
        <v>47273.897095</v>
      </c>
      <c r="BZ92" s="14">
        <f>Sales[[#This Row],[Age]]*Lookups!$B$77</f>
        <v>7565.0096299999996</v>
      </c>
      <c r="CA92" s="14">
        <f>Sales[[#This Row],[MainFn]]*Lookups!$B$78</f>
        <v>146249.682703</v>
      </c>
      <c r="CB92" s="14">
        <f>Sales[[#This Row],[UpprFn]]*Lookups!$B$79</f>
        <v>0</v>
      </c>
      <c r="CC92" s="14">
        <f>Sales[[#This Row],[AddFn]]*Lookups!$B$80</f>
        <v>0</v>
      </c>
      <c r="CD92" s="14">
        <f>Sales[[#This Row],[Bsmt]]*Lookups!$B$81</f>
        <v>28837.527263999997</v>
      </c>
      <c r="CE92" s="14">
        <f>Sales[[#This Row],[Fixtures]]*Lookups!$B$84</f>
        <v>142171.4</v>
      </c>
      <c r="CF92" s="14">
        <f>Sales[[#This Row],[MsnryFP]]*Lookups!$B$82</f>
        <v>25273.623</v>
      </c>
      <c r="CG92" s="14">
        <f>Sales[[#This Row],[PrefabFP]]*Lookups!$B$83</f>
        <v>0</v>
      </c>
      <c r="CH92" s="14">
        <f>Sales[[#This Row],[GarageArea]]*Lookups!$B$85</f>
        <v>24325.67856</v>
      </c>
      <c r="CI92" s="14">
        <f>SUM(Sales[[#This Row],[Days Prior Total]:[Mdl GarageArea]])</f>
        <v>550658.92065112339</v>
      </c>
      <c r="CJ92" s="14">
        <f>ROUND(Sales[[#This Row],[25Det]],-2)</f>
        <v>0</v>
      </c>
      <c r="CK92" s="14">
        <f>ROUND(SUM(Sales[[#This Row],[Mdl Qlty]:[Mdl GarageArea]])+Sales[[#This Row],[Mdl Res Intercept]]+Sales[[#This Row],[Days Prior Total]],-2)</f>
        <v>492800</v>
      </c>
      <c r="CL92" s="14">
        <f>ROUND(Sales[[#This Row],[Mdl Land Intercept]]+Sales[[#This Row],[Mdl LnAcres]],-2)</f>
        <v>57900</v>
      </c>
      <c r="CM92" s="14">
        <f>Sales[[#This Row],[Unadj Res Value]]+Sales[[#This Row],[Unadj Det Value]]+Sales[[#This Row],[Unadj Land Value]]</f>
        <v>550700</v>
      </c>
      <c r="CN92" s="15">
        <f>Sales[[#This Row],[Unadj Total Value]]/Sales[[#This Row],[Price]]</f>
        <v>0.88112000000000001</v>
      </c>
      <c r="CO92" s="15">
        <f>(Sales[[#This Row],[Unadj Total Value]]-Sales[[#This Row],[24Final]])/Sales[[#This Row],[24Final]]</f>
        <v>-2.9774489076814657E-2</v>
      </c>
      <c r="CP92">
        <f>VLOOKUP(Sales[[#This Row],[TNbhd]],Lookups!$M$2:$P$4,4,FALSE)</f>
        <v>0.97570000000000001</v>
      </c>
      <c r="CQ92">
        <f>VLOOKUP(Sales[[#This Row],[Qlty]],Lookups!$M$6:$P$20,4,FALSE)</f>
        <v>0.9819</v>
      </c>
      <c r="CR92">
        <f>VLOOKUP(Sales[[#This Row],[Cnd]],Lookups!$R$6:$U$15,4,FALSE)</f>
        <v>0.97829999999999995</v>
      </c>
      <c r="CS92">
        <f>VLOOKUP(Sales[[#This Row],[LivArea Range]],Lookups!$R$23:$U$39,4,FALSE)</f>
        <v>0.99619999999999997</v>
      </c>
      <c r="CT92">
        <f>VLOOKUP(Sales[[#This Row],[Decade]],Lookups!$M$23:$P$35,4,FALSE)</f>
        <v>1.0153000000000001</v>
      </c>
      <c r="CU92">
        <f>Sales[[#This Row],[Nbhd Adj]]*0.95</f>
        <v>0.92691499999999993</v>
      </c>
      <c r="CV92">
        <f>Sales[[#This Row],[Nbhd Adj]]*Sales[[#This Row],[Quality Adj]]*Sales[[#This Row],[Condition Adj]]*Sales[[#This Row],[Living Area Adj]]*Sales[[#This Row],[Decade Adj]]*0.95</f>
        <v>0.90057554050025423</v>
      </c>
      <c r="CW92">
        <f>ROUND(SUM(Sales[[#This Row],[Mdl Qlty]:[Mdl GarageArea]])+Sales[[#This Row],[Mdl Res Intercept]]*Sales[[#This Row],[Res Adj ]],-2)</f>
        <v>519400</v>
      </c>
      <c r="CX92">
        <f>ROUND(Sales[[#This Row],[25Det]]*Sales[[#This Row],[Det/Nbhd Adj]],-2)</f>
        <v>0</v>
      </c>
      <c r="CY92">
        <f>Sales[[#This Row],[Adjusted Res]]+Sales[[#This Row],[Adj Det ]]</f>
        <v>519400</v>
      </c>
      <c r="CZ92">
        <f>ROUND((Sales[[#This Row],[Mdl Land Intercept]]+Sales[[#This Row],[Mdl LnAcres]])*Sales[[#This Row],[Det/Nbhd Adj]],-2)</f>
        <v>53700</v>
      </c>
      <c r="DA92">
        <f>Sales[[#This Row],[Adjusted Impr Total]]+Sales[[#This Row],[Adjusted Land Total]]</f>
        <v>573100</v>
      </c>
      <c r="DB92">
        <f>IFERROR((Sales[[#This Row],[Adjusted Impr Total]]-Sales[[#This Row],[24Bldg]])/Sales[[#This Row],[24Bldg]],0)</f>
        <v>9.6706081081081086E-2</v>
      </c>
      <c r="DC92">
        <f>(Sales[[#This Row],[Adjusted Land Total]]-Sales[[#This Row],[24Lnd]])/Sales[[#This Row],[24Lnd]]</f>
        <v>-0.42872340425531913</v>
      </c>
      <c r="DD92">
        <f>(Sales[[#This Row],[Adjusted Total]]-Sales[[#This Row],[24Final]])/Sales[[#This Row],[24Final]]</f>
        <v>9.6899224806201549E-3</v>
      </c>
      <c r="DE92">
        <f>(Sales[[#This Row],[Adjusted Total]]+Sales[[#This Row],[Days Prior Total]])/Sales[[#This Row],[Price]]</f>
        <v>0.86040830286400005</v>
      </c>
    </row>
    <row r="93" spans="1:109" x14ac:dyDescent="0.3">
      <c r="A93">
        <v>2025</v>
      </c>
      <c r="B93">
        <v>18131742408</v>
      </c>
      <c r="C93">
        <v>1.0152306797290584</v>
      </c>
      <c r="D93">
        <v>2.76</v>
      </c>
      <c r="E93">
        <v>0</v>
      </c>
      <c r="F93">
        <v>1</v>
      </c>
      <c r="G93" t="s">
        <v>89</v>
      </c>
      <c r="H93" t="s">
        <v>203</v>
      </c>
      <c r="I93" t="s">
        <v>302</v>
      </c>
      <c r="J93" t="s">
        <v>110</v>
      </c>
      <c r="K93">
        <v>11</v>
      </c>
      <c r="L93">
        <v>331</v>
      </c>
      <c r="M93" t="s">
        <v>313</v>
      </c>
      <c r="N93" t="s">
        <v>189</v>
      </c>
      <c r="O93" t="s">
        <v>207</v>
      </c>
      <c r="P93">
        <v>1983</v>
      </c>
      <c r="Q93">
        <v>1995</v>
      </c>
      <c r="R93">
        <v>50</v>
      </c>
      <c r="S93">
        <v>41</v>
      </c>
      <c r="T93">
        <v>29</v>
      </c>
      <c r="U93">
        <v>1</v>
      </c>
      <c r="V93">
        <v>3657</v>
      </c>
      <c r="W93">
        <v>0</v>
      </c>
      <c r="X93">
        <v>0</v>
      </c>
      <c r="Y93">
        <v>0</v>
      </c>
      <c r="Z93">
        <v>0</v>
      </c>
      <c r="AA93">
        <v>0</v>
      </c>
      <c r="AB93">
        <v>3657</v>
      </c>
      <c r="AC93">
        <v>4000</v>
      </c>
      <c r="AD93">
        <v>3</v>
      </c>
      <c r="AF93" t="s">
        <v>153</v>
      </c>
      <c r="AG93" t="s">
        <v>274</v>
      </c>
      <c r="AI93">
        <v>0</v>
      </c>
      <c r="AJ93">
        <v>1</v>
      </c>
      <c r="AK93">
        <v>0</v>
      </c>
      <c r="AL93">
        <v>0</v>
      </c>
      <c r="AM93">
        <v>0</v>
      </c>
      <c r="AN93">
        <v>17</v>
      </c>
      <c r="AO93">
        <v>900</v>
      </c>
      <c r="AP93">
        <v>0</v>
      </c>
      <c r="AQ93">
        <v>900</v>
      </c>
      <c r="AR93">
        <v>0</v>
      </c>
      <c r="AS93">
        <v>0</v>
      </c>
      <c r="AT93">
        <v>2138</v>
      </c>
      <c r="AU93">
        <v>0</v>
      </c>
      <c r="AV93">
        <v>100</v>
      </c>
      <c r="AW93">
        <v>100</v>
      </c>
      <c r="AX93">
        <v>981674</v>
      </c>
      <c r="AY93">
        <v>912957</v>
      </c>
      <c r="AZ93">
        <v>837</v>
      </c>
      <c r="BA93">
        <v>365</v>
      </c>
      <c r="BB93">
        <v>365</v>
      </c>
      <c r="BC93">
        <v>107</v>
      </c>
      <c r="BD93" s="6">
        <v>44455</v>
      </c>
      <c r="BE93" t="s">
        <v>95</v>
      </c>
      <c r="BF93">
        <v>1100000</v>
      </c>
      <c r="BG93">
        <v>970981</v>
      </c>
      <c r="BH93" t="s">
        <v>198</v>
      </c>
      <c r="BI93">
        <v>30</v>
      </c>
      <c r="BJ93" t="s">
        <v>51</v>
      </c>
      <c r="BK93" t="s">
        <v>314</v>
      </c>
      <c r="BL93">
        <v>902400</v>
      </c>
      <c r="BM93">
        <v>218200</v>
      </c>
      <c r="BN93">
        <v>684200</v>
      </c>
      <c r="BO93">
        <v>129019</v>
      </c>
      <c r="BP93">
        <v>0.82036363636363641</v>
      </c>
      <c r="BQ93">
        <v>836540.80120821833</v>
      </c>
      <c r="BR93">
        <v>892560.86553373409</v>
      </c>
      <c r="BS93" s="7">
        <f>(BR93-BL93)/BL93</f>
        <v>-1.0903296172723748E-2</v>
      </c>
      <c r="BT93" s="14">
        <f>(Sales[[#This Row],[DP1]]*Lookups!$B$51)+(Sales[[#This Row],[DP2]]*Lookups!$B$52)+(Sales[[#This Row],[DP3]]*Lookups!$B$53)</f>
        <v>-56020.072710000008</v>
      </c>
      <c r="BU93" s="14">
        <f>Lookups!$B$48*0.5</f>
        <v>87214.824999999997</v>
      </c>
      <c r="BV93" s="14">
        <f>Lookups!$B$48*0.5</f>
        <v>87214.824999999997</v>
      </c>
      <c r="BW93" s="14">
        <f>Lookups!$B$49*Sales[[#This Row],[LnAcres]]</f>
        <v>25409.037106734198</v>
      </c>
      <c r="BX93" s="14">
        <f>VLOOKUP(Sales[[#This Row],[Qlty]],Lookups!$A$54:$E$67,2,FALSE)</f>
        <v>141724.10243</v>
      </c>
      <c r="BY93" s="14">
        <f>VLOOKUP(Sales[[#This Row],[Cnd]],Lookups!$A$68:$E$76,2,FALSE)</f>
        <v>47273.897095</v>
      </c>
      <c r="BZ93" s="14">
        <f>Sales[[#This Row],[Age]]*Lookups!$B$77</f>
        <v>7565.0096299999996</v>
      </c>
      <c r="CA93" s="14">
        <f>Sales[[#This Row],[MainFn]]*Lookups!$B$78</f>
        <v>252638.20956300001</v>
      </c>
      <c r="CB93" s="14">
        <f>Sales[[#This Row],[UpprFn]]*Lookups!$B$79</f>
        <v>0</v>
      </c>
      <c r="CC93" s="14">
        <f>Sales[[#This Row],[AddFn]]*Lookups!$B$80</f>
        <v>0</v>
      </c>
      <c r="CD93" s="14">
        <f>Sales[[#This Row],[Bsmt]]*Lookups!$B$81</f>
        <v>0</v>
      </c>
      <c r="CE93" s="14">
        <f>Sales[[#This Row],[Fixtures]]*Lookups!$B$84</f>
        <v>172636.7</v>
      </c>
      <c r="CF93" s="14">
        <f>Sales[[#This Row],[MsnryFP]]*Lookups!$B$82</f>
        <v>25273.623</v>
      </c>
      <c r="CG93" s="14">
        <f>Sales[[#This Row],[PrefabFP]]*Lookups!$B$83</f>
        <v>0</v>
      </c>
      <c r="CH93" s="14">
        <f>Sales[[#This Row],[GarageArea]]*Lookups!$B$85</f>
        <v>45610.647299999997</v>
      </c>
      <c r="CI93" s="14">
        <f>SUM(Sales[[#This Row],[Days Prior Total]:[Mdl GarageArea]])</f>
        <v>836540.80341473408</v>
      </c>
      <c r="CJ93" s="14">
        <f>ROUND(Sales[[#This Row],[25Det]],-2)</f>
        <v>129000</v>
      </c>
      <c r="CK93" s="14">
        <f>ROUND(SUM(Sales[[#This Row],[Mdl Qlty]:[Mdl GarageArea]])+Sales[[#This Row],[Mdl Res Intercept]]+Sales[[#This Row],[Days Prior Total]],-2)</f>
        <v>723900</v>
      </c>
      <c r="CL93" s="14">
        <f>ROUND(Sales[[#This Row],[Mdl Land Intercept]]+Sales[[#This Row],[Mdl LnAcres]],-2)</f>
        <v>112600</v>
      </c>
      <c r="CM93" s="14">
        <f>Sales[[#This Row],[Unadj Res Value]]+Sales[[#This Row],[Unadj Det Value]]+Sales[[#This Row],[Unadj Land Value]]</f>
        <v>965500</v>
      </c>
      <c r="CN93" s="15">
        <f>Sales[[#This Row],[Unadj Total Value]]/Sales[[#This Row],[Price]]</f>
        <v>0.87772727272727269</v>
      </c>
      <c r="CO93" s="15">
        <f>(Sales[[#This Row],[Unadj Total Value]]-Sales[[#This Row],[24Final]])/Sales[[#This Row],[24Final]]</f>
        <v>6.9924645390070927E-2</v>
      </c>
      <c r="CP93">
        <f>VLOOKUP(Sales[[#This Row],[TNbhd]],Lookups!$M$2:$P$4,4,FALSE)</f>
        <v>0.97570000000000001</v>
      </c>
      <c r="CQ93">
        <f>VLOOKUP(Sales[[#This Row],[Qlty]],Lookups!$M$6:$P$20,4,FALSE)</f>
        <v>1.0051000000000001</v>
      </c>
      <c r="CR93">
        <f>VLOOKUP(Sales[[#This Row],[Cnd]],Lookups!$R$6:$U$15,4,FALSE)</f>
        <v>0.97829999999999995</v>
      </c>
      <c r="CS93">
        <f>VLOOKUP(Sales[[#This Row],[LivArea Range]],Lookups!$R$23:$U$39,4,FALSE)</f>
        <v>1.034</v>
      </c>
      <c r="CT93">
        <f>VLOOKUP(Sales[[#This Row],[Decade]],Lookups!$M$23:$P$35,4,FALSE)</f>
        <v>1.0153000000000001</v>
      </c>
      <c r="CU93">
        <f>Sales[[#This Row],[Nbhd Adj]]*0.95</f>
        <v>0.92691499999999993</v>
      </c>
      <c r="CV93">
        <f>Sales[[#This Row],[Nbhd Adj]]*Sales[[#This Row],[Quality Adj]]*Sales[[#This Row],[Condition Adj]]*Sales[[#This Row],[Living Area Adj]]*Sales[[#This Row],[Decade Adj]]*0.95</f>
        <v>0.95683303645464646</v>
      </c>
      <c r="CW93">
        <f>ROUND(SUM(Sales[[#This Row],[Mdl Qlty]:[Mdl GarageArea]])+Sales[[#This Row],[Mdl Res Intercept]]*Sales[[#This Row],[Res Adj ]],-2)</f>
        <v>776200</v>
      </c>
      <c r="CX93">
        <f>ROUND(Sales[[#This Row],[25Det]]*Sales[[#This Row],[Det/Nbhd Adj]],-2)</f>
        <v>119600</v>
      </c>
      <c r="CY93">
        <f>Sales[[#This Row],[Adjusted Res]]+Sales[[#This Row],[Adj Det ]]</f>
        <v>895800</v>
      </c>
      <c r="CZ93">
        <f>ROUND((Sales[[#This Row],[Mdl Land Intercept]]+Sales[[#This Row],[Mdl LnAcres]])*Sales[[#This Row],[Det/Nbhd Adj]],-2)</f>
        <v>104400</v>
      </c>
      <c r="DA93">
        <f>Sales[[#This Row],[Adjusted Impr Total]]+Sales[[#This Row],[Adjusted Land Total]]</f>
        <v>1000200</v>
      </c>
      <c r="DB93">
        <f>IFERROR((Sales[[#This Row],[Adjusted Impr Total]]-Sales[[#This Row],[24Bldg]])/Sales[[#This Row],[24Bldg]],0)</f>
        <v>0.30926629640456005</v>
      </c>
      <c r="DC93">
        <f>(Sales[[#This Row],[Adjusted Land Total]]-Sales[[#This Row],[24Lnd]])/Sales[[#This Row],[24Lnd]]</f>
        <v>-0.52153987167736027</v>
      </c>
      <c r="DD93">
        <f>(Sales[[#This Row],[Adjusted Total]]-Sales[[#This Row],[24Final]])/Sales[[#This Row],[24Final]]</f>
        <v>0.10837765957446809</v>
      </c>
      <c r="DE93">
        <f>(Sales[[#This Row],[Adjusted Total]]+Sales[[#This Row],[Days Prior Total]])/Sales[[#This Row],[Price]]</f>
        <v>0.8583453884454546</v>
      </c>
    </row>
    <row r="94" spans="1:109" x14ac:dyDescent="0.3">
      <c r="A94">
        <v>2025</v>
      </c>
      <c r="B94">
        <v>18131534459</v>
      </c>
      <c r="C94">
        <v>-3.5065578973199818</v>
      </c>
      <c r="D94">
        <v>0.03</v>
      </c>
      <c r="E94">
        <v>1518</v>
      </c>
      <c r="F94">
        <v>5</v>
      </c>
      <c r="G94" t="s">
        <v>25</v>
      </c>
      <c r="H94">
        <v>3042</v>
      </c>
      <c r="I94" t="s">
        <v>302</v>
      </c>
      <c r="J94" t="s">
        <v>109</v>
      </c>
      <c r="K94">
        <v>11</v>
      </c>
      <c r="L94">
        <v>262</v>
      </c>
      <c r="M94" t="s">
        <v>273</v>
      </c>
      <c r="N94" t="s">
        <v>205</v>
      </c>
      <c r="O94" t="s">
        <v>207</v>
      </c>
      <c r="P94">
        <v>1980</v>
      </c>
      <c r="Q94">
        <v>1980</v>
      </c>
      <c r="R94">
        <v>50</v>
      </c>
      <c r="S94">
        <v>44</v>
      </c>
      <c r="T94">
        <v>44</v>
      </c>
      <c r="U94">
        <v>1</v>
      </c>
      <c r="V94">
        <v>1518</v>
      </c>
      <c r="W94">
        <v>0</v>
      </c>
      <c r="X94">
        <v>0</v>
      </c>
      <c r="Y94">
        <v>0</v>
      </c>
      <c r="Z94">
        <v>0</v>
      </c>
      <c r="AA94">
        <v>0</v>
      </c>
      <c r="AB94">
        <v>1518</v>
      </c>
      <c r="AC94">
        <v>2000</v>
      </c>
      <c r="AD94">
        <v>2</v>
      </c>
      <c r="AE94" t="s">
        <v>5</v>
      </c>
      <c r="AF94" t="s">
        <v>275</v>
      </c>
      <c r="AG94" t="s">
        <v>111</v>
      </c>
      <c r="AH94" t="s">
        <v>314</v>
      </c>
      <c r="AI94">
        <v>1</v>
      </c>
      <c r="AJ94">
        <v>0</v>
      </c>
      <c r="AK94">
        <v>0</v>
      </c>
      <c r="AL94">
        <v>0</v>
      </c>
      <c r="AM94">
        <v>0</v>
      </c>
      <c r="AN94">
        <v>11</v>
      </c>
      <c r="AO94">
        <v>0</v>
      </c>
      <c r="AP94">
        <v>0</v>
      </c>
      <c r="AQ94">
        <v>0</v>
      </c>
      <c r="AR94">
        <v>0</v>
      </c>
      <c r="AS94">
        <v>176</v>
      </c>
      <c r="AT94">
        <v>0</v>
      </c>
      <c r="AU94">
        <v>0</v>
      </c>
      <c r="AV94">
        <v>100</v>
      </c>
      <c r="AW94">
        <v>100</v>
      </c>
      <c r="AX94">
        <v>255810</v>
      </c>
      <c r="AY94">
        <v>214880</v>
      </c>
      <c r="AZ94">
        <v>77</v>
      </c>
      <c r="BA94">
        <v>77</v>
      </c>
      <c r="BB94">
        <v>0</v>
      </c>
      <c r="BC94">
        <v>0</v>
      </c>
      <c r="BD94" s="6">
        <v>45215</v>
      </c>
      <c r="BE94" t="s">
        <v>266</v>
      </c>
      <c r="BF94">
        <v>345000</v>
      </c>
      <c r="BG94">
        <v>329069</v>
      </c>
      <c r="BH94" t="s">
        <v>198</v>
      </c>
      <c r="BI94">
        <v>30</v>
      </c>
      <c r="BJ94" t="s">
        <v>51</v>
      </c>
      <c r="BK94" t="s">
        <v>314</v>
      </c>
      <c r="BL94">
        <v>235100</v>
      </c>
      <c r="BM94">
        <v>35300</v>
      </c>
      <c r="BN94">
        <v>199800</v>
      </c>
      <c r="BO94">
        <v>15931</v>
      </c>
      <c r="BP94">
        <v>0.68144927536231881</v>
      </c>
      <c r="BQ94">
        <v>316143.14672659501</v>
      </c>
      <c r="BR94">
        <v>328321.61785621219</v>
      </c>
      <c r="BS94" s="7">
        <f>(BR94-BL94)/BL94</f>
        <v>0.39651900406725732</v>
      </c>
      <c r="BT94" s="14">
        <f>(Sales[[#This Row],[DP1]]*Lookups!$B$51)+(Sales[[#This Row],[DP2]]*Lookups!$B$52)+(Sales[[#This Row],[DP3]]*Lookups!$B$53)</f>
        <v>-12178.474</v>
      </c>
      <c r="BU94" s="14">
        <f>Lookups!$B$48*0.5</f>
        <v>87214.824999999997</v>
      </c>
      <c r="BV94" s="14">
        <f>Lookups!$B$48*0.5</f>
        <v>87214.824999999997</v>
      </c>
      <c r="BW94" s="14">
        <f>Lookups!$B$49*Sales[[#This Row],[LnAcres]]</f>
        <v>-87761.591044208326</v>
      </c>
      <c r="BX94" s="14">
        <f>VLOOKUP(Sales[[#This Row],[Qlty]],Lookups!$A$54:$E$67,2,FALSE)</f>
        <v>30313.66692</v>
      </c>
      <c r="BY94" s="14">
        <f>VLOOKUP(Sales[[#This Row],[Cnd]],Lookups!$A$68:$E$76,2,FALSE)</f>
        <v>47273.897095</v>
      </c>
      <c r="BZ94" s="14">
        <f>Sales[[#This Row],[Age]]*Lookups!$B$77</f>
        <v>8118.5469199999998</v>
      </c>
      <c r="CA94" s="14">
        <f>Sales[[#This Row],[MainFn]]*Lookups!$B$78</f>
        <v>104868.69076200001</v>
      </c>
      <c r="CB94" s="14">
        <f>Sales[[#This Row],[UpprFn]]*Lookups!$B$79</f>
        <v>0</v>
      </c>
      <c r="CC94" s="14">
        <f>Sales[[#This Row],[AddFn]]*Lookups!$B$80</f>
        <v>0</v>
      </c>
      <c r="CD94" s="14">
        <f>Sales[[#This Row],[Bsmt]]*Lookups!$B$81</f>
        <v>0</v>
      </c>
      <c r="CE94" s="14">
        <f>Sales[[#This Row],[Fixtures]]*Lookups!$B$84</f>
        <v>111706.1</v>
      </c>
      <c r="CF94" s="14">
        <f>Sales[[#This Row],[MsnryFP]]*Lookups!$B$82</f>
        <v>0</v>
      </c>
      <c r="CG94" s="14">
        <f>Sales[[#This Row],[PrefabFP]]*Lookups!$B$83</f>
        <v>0</v>
      </c>
      <c r="CH94" s="14">
        <f>Sales[[#This Row],[GarageArea]]*Lookups!$B$85</f>
        <v>0</v>
      </c>
      <c r="CI94" s="14">
        <f>SUM(Sales[[#This Row],[Days Prior Total]:[Mdl GarageArea]])</f>
        <v>376770.48665279162</v>
      </c>
      <c r="CJ94" s="14">
        <f>ROUND(Sales[[#This Row],[25Det]],-2)</f>
        <v>15900</v>
      </c>
      <c r="CK94" s="14">
        <f>ROUND(SUM(Sales[[#This Row],[Mdl Qlty]:[Mdl GarageArea]])+Sales[[#This Row],[Mdl Res Intercept]]+Sales[[#This Row],[Days Prior Total]],-2)</f>
        <v>377300</v>
      </c>
      <c r="CL94" s="14">
        <f>ROUND(Sales[[#This Row],[Mdl Land Intercept]]+Sales[[#This Row],[Mdl LnAcres]],-2)</f>
        <v>-500</v>
      </c>
      <c r="CM94" s="14">
        <f>Sales[[#This Row],[Unadj Res Value]]+Sales[[#This Row],[Unadj Det Value]]+Sales[[#This Row],[Unadj Land Value]]</f>
        <v>392700</v>
      </c>
      <c r="CN94" s="15">
        <f>Sales[[#This Row],[Unadj Total Value]]/Sales[[#This Row],[Price]]</f>
        <v>1.1382608695652174</v>
      </c>
      <c r="CO94" s="15">
        <f>(Sales[[#This Row],[Unadj Total Value]]-Sales[[#This Row],[24Final]])/Sales[[#This Row],[24Final]]</f>
        <v>0.67035304125903872</v>
      </c>
      <c r="CP94">
        <f>VLOOKUP(Sales[[#This Row],[TNbhd]],Lookups!$M$2:$P$4,4,FALSE)</f>
        <v>0.97570000000000001</v>
      </c>
      <c r="CQ94">
        <f>VLOOKUP(Sales[[#This Row],[Qlty]],Lookups!$M$6:$P$20,4,FALSE)</f>
        <v>0.85299999999999998</v>
      </c>
      <c r="CR94">
        <f>VLOOKUP(Sales[[#This Row],[Cnd]],Lookups!$R$6:$U$15,4,FALSE)</f>
        <v>0.97829999999999995</v>
      </c>
      <c r="CS94">
        <f>VLOOKUP(Sales[[#This Row],[LivArea Range]],Lookups!$R$23:$U$39,4,FALSE)</f>
        <v>0.99099999999999999</v>
      </c>
      <c r="CT94">
        <f>VLOOKUP(Sales[[#This Row],[Decade]],Lookups!$M$23:$P$35,4,FALSE)</f>
        <v>1.0153000000000001</v>
      </c>
      <c r="CU94">
        <f>Sales[[#This Row],[Nbhd Adj]]*0.95</f>
        <v>0.92691499999999993</v>
      </c>
      <c r="CV94">
        <f>Sales[[#This Row],[Nbhd Adj]]*Sales[[#This Row],[Quality Adj]]*Sales[[#This Row],[Condition Adj]]*Sales[[#This Row],[Living Area Adj]]*Sales[[#This Row],[Decade Adj]]*0.95</f>
        <v>0.77826775213812927</v>
      </c>
      <c r="CW94">
        <f>ROUND(SUM(Sales[[#This Row],[Mdl Qlty]:[Mdl GarageArea]])+Sales[[#This Row],[Mdl Res Intercept]]*Sales[[#This Row],[Res Adj ]],-2)</f>
        <v>370200</v>
      </c>
      <c r="CX94">
        <f>ROUND(Sales[[#This Row],[25Det]]*Sales[[#This Row],[Det/Nbhd Adj]],-2)</f>
        <v>14800</v>
      </c>
      <c r="CY94">
        <f>Sales[[#This Row],[Adjusted Res]]+Sales[[#This Row],[Adj Det ]]</f>
        <v>385000</v>
      </c>
      <c r="CZ94">
        <f>ROUND((Sales[[#This Row],[Mdl Land Intercept]]+Sales[[#This Row],[Mdl LnAcres]])*Sales[[#This Row],[Det/Nbhd Adj]],-2)</f>
        <v>-500</v>
      </c>
      <c r="DA94">
        <f>Sales[[#This Row],[Adjusted Impr Total]]+Sales[[#This Row],[Adjusted Land Total]]</f>
        <v>384500</v>
      </c>
      <c r="DB94">
        <f>IFERROR((Sales[[#This Row],[Adjusted Impr Total]]-Sales[[#This Row],[24Bldg]])/Sales[[#This Row],[24Bldg]],0)</f>
        <v>0.92692692692692691</v>
      </c>
      <c r="DC94">
        <f>(Sales[[#This Row],[Adjusted Land Total]]-Sales[[#This Row],[24Lnd]])/Sales[[#This Row],[24Lnd]]</f>
        <v>-1.0141643059490084</v>
      </c>
      <c r="DD94">
        <f>(Sales[[#This Row],[Adjusted Total]]-Sales[[#This Row],[24Final]])/Sales[[#This Row],[24Final]]</f>
        <v>0.63547426626967252</v>
      </c>
      <c r="DE94">
        <f>(Sales[[#This Row],[Adjusted Total]]+Sales[[#This Row],[Days Prior Total]])/Sales[[#This Row],[Price]]</f>
        <v>1.0791928289855073</v>
      </c>
    </row>
    <row r="95" spans="1:109" x14ac:dyDescent="0.3">
      <c r="A95">
        <v>2025</v>
      </c>
      <c r="B95">
        <v>18131644583</v>
      </c>
      <c r="C95">
        <v>-3.5065578973199818</v>
      </c>
      <c r="D95">
        <v>0.03</v>
      </c>
      <c r="E95">
        <v>1153</v>
      </c>
      <c r="F95">
        <v>5</v>
      </c>
      <c r="G95" t="s">
        <v>25</v>
      </c>
      <c r="H95">
        <v>3042</v>
      </c>
      <c r="I95" t="s">
        <v>302</v>
      </c>
      <c r="J95" t="s">
        <v>26</v>
      </c>
      <c r="K95">
        <v>11</v>
      </c>
      <c r="L95">
        <v>262</v>
      </c>
      <c r="M95" t="s">
        <v>273</v>
      </c>
      <c r="N95" t="s">
        <v>111</v>
      </c>
      <c r="O95" t="s">
        <v>231</v>
      </c>
      <c r="P95">
        <v>1980</v>
      </c>
      <c r="Q95">
        <v>1980</v>
      </c>
      <c r="R95">
        <v>50</v>
      </c>
      <c r="S95">
        <v>44</v>
      </c>
      <c r="T95">
        <v>44</v>
      </c>
      <c r="U95">
        <v>1</v>
      </c>
      <c r="V95">
        <v>1160</v>
      </c>
      <c r="W95">
        <v>0</v>
      </c>
      <c r="X95">
        <v>0</v>
      </c>
      <c r="Y95">
        <v>0</v>
      </c>
      <c r="Z95">
        <v>0</v>
      </c>
      <c r="AA95">
        <v>0</v>
      </c>
      <c r="AB95">
        <v>1160</v>
      </c>
      <c r="AC95">
        <v>1500</v>
      </c>
      <c r="AD95">
        <v>0</v>
      </c>
      <c r="AF95" t="s">
        <v>153</v>
      </c>
      <c r="AG95" t="s">
        <v>274</v>
      </c>
      <c r="AI95">
        <v>0</v>
      </c>
      <c r="AJ95">
        <v>1</v>
      </c>
      <c r="AK95">
        <v>0</v>
      </c>
      <c r="AL95">
        <v>0</v>
      </c>
      <c r="AM95">
        <v>0</v>
      </c>
      <c r="AN95">
        <v>8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160</v>
      </c>
      <c r="AU95">
        <v>0</v>
      </c>
      <c r="AV95">
        <v>100</v>
      </c>
      <c r="AW95">
        <v>100</v>
      </c>
      <c r="AX95">
        <v>203746</v>
      </c>
      <c r="AY95">
        <v>162997</v>
      </c>
      <c r="AZ95">
        <v>985</v>
      </c>
      <c r="BA95">
        <v>365</v>
      </c>
      <c r="BB95">
        <v>365</v>
      </c>
      <c r="BC95">
        <v>255</v>
      </c>
      <c r="BD95" s="6">
        <v>44307</v>
      </c>
      <c r="BE95" t="s">
        <v>116</v>
      </c>
      <c r="BF95">
        <v>205000</v>
      </c>
      <c r="BG95">
        <v>192605</v>
      </c>
      <c r="BH95" t="s">
        <v>198</v>
      </c>
      <c r="BI95">
        <v>30</v>
      </c>
      <c r="BJ95" t="s">
        <v>51</v>
      </c>
      <c r="BK95" t="s">
        <v>314</v>
      </c>
      <c r="BL95">
        <v>272400</v>
      </c>
      <c r="BM95">
        <v>40900</v>
      </c>
      <c r="BN95">
        <v>231500</v>
      </c>
      <c r="BO95">
        <v>12395</v>
      </c>
      <c r="BP95">
        <v>1.3287804878048781</v>
      </c>
      <c r="BQ95">
        <v>165417.33973182217</v>
      </c>
      <c r="BR95">
        <v>267108.13919429248</v>
      </c>
      <c r="BS95" s="7">
        <f>(BR95-BL95)/BL95</f>
        <v>-1.9426801783067247E-2</v>
      </c>
      <c r="BT95" s="14">
        <f>(Sales[[#This Row],[DP1]]*Lookups!$B$51)+(Sales[[#This Row],[DP2]]*Lookups!$B$52)+(Sales[[#This Row],[DP3]]*Lookups!$B$53)</f>
        <v>-101690.80071000001</v>
      </c>
      <c r="BU95" s="14">
        <f>Lookups!$B$48*0.5</f>
        <v>87214.824999999997</v>
      </c>
      <c r="BV95" s="14">
        <f>Lookups!$B$48*0.5</f>
        <v>87214.824999999997</v>
      </c>
      <c r="BW95" s="14">
        <f>Lookups!$B$49*Sales[[#This Row],[LnAcres]]</f>
        <v>-87761.591044208326</v>
      </c>
      <c r="BX95" s="14">
        <f>VLOOKUP(Sales[[#This Row],[Qlty]],Lookups!$A$54:$E$67,2,FALSE)</f>
        <v>-14329.694740000001</v>
      </c>
      <c r="BY95" s="14">
        <f>VLOOKUP(Sales[[#This Row],[Cnd]],Lookups!$A$68:$E$76,2,FALSE)</f>
        <v>0</v>
      </c>
      <c r="BZ95" s="14">
        <f>Sales[[#This Row],[Age]]*Lookups!$B$77</f>
        <v>8118.5469199999998</v>
      </c>
      <c r="CA95" s="14">
        <f>Sales[[#This Row],[MainFn]]*Lookups!$B$78</f>
        <v>80136.812440000009</v>
      </c>
      <c r="CB95" s="14">
        <f>Sales[[#This Row],[UpprFn]]*Lookups!$B$79</f>
        <v>0</v>
      </c>
      <c r="CC95" s="14">
        <f>Sales[[#This Row],[AddFn]]*Lookups!$B$80</f>
        <v>0</v>
      </c>
      <c r="CD95" s="14">
        <f>Sales[[#This Row],[Bsmt]]*Lookups!$B$81</f>
        <v>0</v>
      </c>
      <c r="CE95" s="14">
        <f>Sales[[#This Row],[Fixtures]]*Lookups!$B$84</f>
        <v>81240.800000000003</v>
      </c>
      <c r="CF95" s="14">
        <f>Sales[[#This Row],[MsnryFP]]*Lookups!$B$82</f>
        <v>25273.623</v>
      </c>
      <c r="CG95" s="14">
        <f>Sales[[#This Row],[PrefabFP]]*Lookups!$B$83</f>
        <v>0</v>
      </c>
      <c r="CH95" s="14">
        <f>Sales[[#This Row],[GarageArea]]*Lookups!$B$85</f>
        <v>0</v>
      </c>
      <c r="CI95" s="14">
        <f>SUM(Sales[[#This Row],[Days Prior Total]:[Mdl GarageArea]])</f>
        <v>165417.34586579166</v>
      </c>
      <c r="CJ95" s="14">
        <f>ROUND(Sales[[#This Row],[25Det]],-2)</f>
        <v>12400</v>
      </c>
      <c r="CK95" s="14">
        <f>ROUND(SUM(Sales[[#This Row],[Mdl Qlty]:[Mdl GarageArea]])+Sales[[#This Row],[Mdl Res Intercept]]+Sales[[#This Row],[Days Prior Total]],-2)</f>
        <v>166000</v>
      </c>
      <c r="CL95" s="14">
        <f>ROUND(Sales[[#This Row],[Mdl Land Intercept]]+Sales[[#This Row],[Mdl LnAcres]],-2)</f>
        <v>-500</v>
      </c>
      <c r="CM95" s="14">
        <f>Sales[[#This Row],[Unadj Res Value]]+Sales[[#This Row],[Unadj Det Value]]+Sales[[#This Row],[Unadj Land Value]]</f>
        <v>177900</v>
      </c>
      <c r="CN95" s="15">
        <f>Sales[[#This Row],[Unadj Total Value]]/Sales[[#This Row],[Price]]</f>
        <v>0.86780487804878048</v>
      </c>
      <c r="CO95" s="15">
        <f>(Sales[[#This Row],[Unadj Total Value]]-Sales[[#This Row],[24Final]])/Sales[[#This Row],[24Final]]</f>
        <v>-0.34691629955947134</v>
      </c>
      <c r="CP95">
        <f>VLOOKUP(Sales[[#This Row],[TNbhd]],Lookups!$M$2:$P$4,4,FALSE)</f>
        <v>0.97570000000000001</v>
      </c>
      <c r="CQ95">
        <f>VLOOKUP(Sales[[#This Row],[Qlty]],Lookups!$M$6:$P$20,4,FALSE)</f>
        <v>0.98809999999999998</v>
      </c>
      <c r="CR95">
        <f>VLOOKUP(Sales[[#This Row],[Cnd]],Lookups!$R$6:$U$15,4,FALSE)</f>
        <v>0.9677</v>
      </c>
      <c r="CS95">
        <f>VLOOKUP(Sales[[#This Row],[LivArea Range]],Lookups!$R$23:$U$39,4,FALSE)</f>
        <v>1.0062</v>
      </c>
      <c r="CT95">
        <f>VLOOKUP(Sales[[#This Row],[Decade]],Lookups!$M$23:$P$35,4,FALSE)</f>
        <v>1.0153000000000001</v>
      </c>
      <c r="CU95">
        <f>Sales[[#This Row],[Nbhd Adj]]*0.95</f>
        <v>0.92691499999999993</v>
      </c>
      <c r="CV95">
        <f>Sales[[#This Row],[Nbhd Adj]]*Sales[[#This Row],[Quality Adj]]*Sales[[#This Row],[Condition Adj]]*Sales[[#This Row],[Living Area Adj]]*Sales[[#This Row],[Decade Adj]]*0.95</f>
        <v>0.90544119505102505</v>
      </c>
      <c r="CW95">
        <f>ROUND(SUM(Sales[[#This Row],[Mdl Qlty]:[Mdl GarageArea]])+Sales[[#This Row],[Mdl Res Intercept]]*Sales[[#This Row],[Res Adj ]],-2)</f>
        <v>259400</v>
      </c>
      <c r="CX95">
        <f>ROUND(Sales[[#This Row],[25Det]]*Sales[[#This Row],[Det/Nbhd Adj]],-2)</f>
        <v>11500</v>
      </c>
      <c r="CY95">
        <f>Sales[[#This Row],[Adjusted Res]]+Sales[[#This Row],[Adj Det ]]</f>
        <v>270900</v>
      </c>
      <c r="CZ95">
        <f>ROUND((Sales[[#This Row],[Mdl Land Intercept]]+Sales[[#This Row],[Mdl LnAcres]])*Sales[[#This Row],[Det/Nbhd Adj]],-2)</f>
        <v>-500</v>
      </c>
      <c r="DA95">
        <f>Sales[[#This Row],[Adjusted Impr Total]]+Sales[[#This Row],[Adjusted Land Total]]</f>
        <v>270400</v>
      </c>
      <c r="DB95">
        <f>IFERROR((Sales[[#This Row],[Adjusted Impr Total]]-Sales[[#This Row],[24Bldg]])/Sales[[#This Row],[24Bldg]],0)</f>
        <v>0.17019438444924406</v>
      </c>
      <c r="DC95">
        <f>(Sales[[#This Row],[Adjusted Land Total]]-Sales[[#This Row],[24Lnd]])/Sales[[#This Row],[24Lnd]]</f>
        <v>-1.0122249388753055</v>
      </c>
      <c r="DD95">
        <f>(Sales[[#This Row],[Adjusted Total]]-Sales[[#This Row],[24Final]])/Sales[[#This Row],[24Final]]</f>
        <v>-7.3421439060205578E-3</v>
      </c>
      <c r="DE95">
        <f>(Sales[[#This Row],[Adjusted Total]]+Sales[[#This Row],[Days Prior Total]])/Sales[[#This Row],[Price]]</f>
        <v>0.82297170385365848</v>
      </c>
    </row>
    <row r="96" spans="1:109" x14ac:dyDescent="0.3">
      <c r="A96">
        <v>2025</v>
      </c>
      <c r="B96">
        <v>18131644564</v>
      </c>
      <c r="C96">
        <v>-3.5065578973199818</v>
      </c>
      <c r="D96">
        <v>0.03</v>
      </c>
      <c r="E96">
        <v>1160</v>
      </c>
      <c r="F96">
        <v>5</v>
      </c>
      <c r="G96" t="s">
        <v>25</v>
      </c>
      <c r="H96">
        <v>3042</v>
      </c>
      <c r="I96" t="s">
        <v>302</v>
      </c>
      <c r="J96" t="s">
        <v>26</v>
      </c>
      <c r="K96">
        <v>11</v>
      </c>
      <c r="L96">
        <v>262</v>
      </c>
      <c r="M96" t="s">
        <v>273</v>
      </c>
      <c r="N96" t="s">
        <v>111</v>
      </c>
      <c r="O96" t="s">
        <v>231</v>
      </c>
      <c r="P96">
        <v>1980</v>
      </c>
      <c r="Q96">
        <v>1980</v>
      </c>
      <c r="R96">
        <v>50</v>
      </c>
      <c r="S96">
        <v>44</v>
      </c>
      <c r="T96">
        <v>44</v>
      </c>
      <c r="U96">
        <v>1</v>
      </c>
      <c r="V96">
        <v>1160</v>
      </c>
      <c r="W96">
        <v>0</v>
      </c>
      <c r="X96">
        <v>0</v>
      </c>
      <c r="Y96">
        <v>0</v>
      </c>
      <c r="Z96">
        <v>0</v>
      </c>
      <c r="AA96">
        <v>0</v>
      </c>
      <c r="AB96">
        <v>1160</v>
      </c>
      <c r="AC96">
        <v>1500</v>
      </c>
      <c r="AD96">
        <v>0</v>
      </c>
      <c r="AF96" t="s">
        <v>153</v>
      </c>
      <c r="AG96" t="s">
        <v>111</v>
      </c>
      <c r="AI96">
        <v>0</v>
      </c>
      <c r="AJ96">
        <v>1</v>
      </c>
      <c r="AK96">
        <v>0</v>
      </c>
      <c r="AL96">
        <v>1</v>
      </c>
      <c r="AM96">
        <v>0</v>
      </c>
      <c r="AN96">
        <v>8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100</v>
      </c>
      <c r="AW96">
        <v>100</v>
      </c>
      <c r="AX96">
        <v>200747</v>
      </c>
      <c r="AY96">
        <v>158590</v>
      </c>
      <c r="AZ96">
        <v>712</v>
      </c>
      <c r="BA96">
        <v>365</v>
      </c>
      <c r="BB96">
        <v>347</v>
      </c>
      <c r="BC96">
        <v>0</v>
      </c>
      <c r="BD96" s="6">
        <v>44580</v>
      </c>
      <c r="BE96" t="s">
        <v>77</v>
      </c>
      <c r="BF96">
        <v>272000</v>
      </c>
      <c r="BG96">
        <v>259605</v>
      </c>
      <c r="BH96" t="s">
        <v>198</v>
      </c>
      <c r="BI96">
        <v>30</v>
      </c>
      <c r="BJ96" t="s">
        <v>51</v>
      </c>
      <c r="BK96" t="s">
        <v>314</v>
      </c>
      <c r="BL96">
        <v>268400</v>
      </c>
      <c r="BM96">
        <v>40300</v>
      </c>
      <c r="BN96">
        <v>228100</v>
      </c>
      <c r="BO96">
        <v>12395</v>
      </c>
      <c r="BP96">
        <v>0.98676470588235299</v>
      </c>
      <c r="BQ96">
        <v>242394.18020366179</v>
      </c>
      <c r="BR96">
        <v>267108.13919429248</v>
      </c>
      <c r="BS96" s="7">
        <f>(BR96-BL96)/BL96</f>
        <v>-4.8131922716375484E-3</v>
      </c>
      <c r="BT96" s="14">
        <f>(Sales[[#This Row],[DP1]]*Lookups!$B$51)+(Sales[[#This Row],[DP2]]*Lookups!$B$52)+(Sales[[#This Row],[DP3]]*Lookups!$B$53)</f>
        <v>-24713.972538000002</v>
      </c>
      <c r="BU96" s="14">
        <f>Lookups!$B$48*0.5</f>
        <v>87214.824999999997</v>
      </c>
      <c r="BV96" s="14">
        <f>Lookups!$B$48*0.5</f>
        <v>87214.824999999997</v>
      </c>
      <c r="BW96" s="14">
        <f>Lookups!$B$49*Sales[[#This Row],[LnAcres]]</f>
        <v>-87761.591044208326</v>
      </c>
      <c r="BX96" s="14">
        <f>VLOOKUP(Sales[[#This Row],[Qlty]],Lookups!$A$54:$E$67,2,FALSE)</f>
        <v>-14329.694740000001</v>
      </c>
      <c r="BY96" s="14">
        <f>VLOOKUP(Sales[[#This Row],[Cnd]],Lookups!$A$68:$E$76,2,FALSE)</f>
        <v>0</v>
      </c>
      <c r="BZ96" s="14">
        <f>Sales[[#This Row],[Age]]*Lookups!$B$77</f>
        <v>8118.5469199999998</v>
      </c>
      <c r="CA96" s="14">
        <f>Sales[[#This Row],[MainFn]]*Lookups!$B$78</f>
        <v>80136.812440000009</v>
      </c>
      <c r="CB96" s="14">
        <f>Sales[[#This Row],[UpprFn]]*Lookups!$B$79</f>
        <v>0</v>
      </c>
      <c r="CC96" s="14">
        <f>Sales[[#This Row],[AddFn]]*Lookups!$B$80</f>
        <v>0</v>
      </c>
      <c r="CD96" s="14">
        <f>Sales[[#This Row],[Bsmt]]*Lookups!$B$81</f>
        <v>0</v>
      </c>
      <c r="CE96" s="14">
        <f>Sales[[#This Row],[Fixtures]]*Lookups!$B$84</f>
        <v>81240.800000000003</v>
      </c>
      <c r="CF96" s="14">
        <f>Sales[[#This Row],[MsnryFP]]*Lookups!$B$82</f>
        <v>25273.623</v>
      </c>
      <c r="CG96" s="14">
        <f>Sales[[#This Row],[PrefabFP]]*Lookups!$B$83</f>
        <v>0</v>
      </c>
      <c r="CH96" s="14">
        <f>Sales[[#This Row],[GarageArea]]*Lookups!$B$85</f>
        <v>0</v>
      </c>
      <c r="CI96" s="14">
        <f>SUM(Sales[[#This Row],[Days Prior Total]:[Mdl GarageArea]])</f>
        <v>242394.17403779164</v>
      </c>
      <c r="CJ96" s="14">
        <f>ROUND(Sales[[#This Row],[25Det]],-2)</f>
        <v>12400</v>
      </c>
      <c r="CK96" s="14">
        <f>ROUND(SUM(Sales[[#This Row],[Mdl Qlty]:[Mdl GarageArea]])+Sales[[#This Row],[Mdl Res Intercept]]+Sales[[#This Row],[Days Prior Total]],-2)</f>
        <v>242900</v>
      </c>
      <c r="CL96" s="14">
        <f>ROUND(Sales[[#This Row],[Mdl Land Intercept]]+Sales[[#This Row],[Mdl LnAcres]],-2)</f>
        <v>-500</v>
      </c>
      <c r="CM96" s="14">
        <f>Sales[[#This Row],[Unadj Res Value]]+Sales[[#This Row],[Unadj Det Value]]+Sales[[#This Row],[Unadj Land Value]]</f>
        <v>254800</v>
      </c>
      <c r="CN96" s="15">
        <f>Sales[[#This Row],[Unadj Total Value]]/Sales[[#This Row],[Price]]</f>
        <v>0.93676470588235294</v>
      </c>
      <c r="CO96" s="15">
        <f>(Sales[[#This Row],[Unadj Total Value]]-Sales[[#This Row],[24Final]])/Sales[[#This Row],[24Final]]</f>
        <v>-5.0670640834575259E-2</v>
      </c>
      <c r="CP96">
        <f>VLOOKUP(Sales[[#This Row],[TNbhd]],Lookups!$M$2:$P$4,4,FALSE)</f>
        <v>0.97570000000000001</v>
      </c>
      <c r="CQ96">
        <f>VLOOKUP(Sales[[#This Row],[Qlty]],Lookups!$M$6:$P$20,4,FALSE)</f>
        <v>0.98809999999999998</v>
      </c>
      <c r="CR96">
        <f>VLOOKUP(Sales[[#This Row],[Cnd]],Lookups!$R$6:$U$15,4,FALSE)</f>
        <v>0.9677</v>
      </c>
      <c r="CS96">
        <f>VLOOKUP(Sales[[#This Row],[LivArea Range]],Lookups!$R$23:$U$39,4,FALSE)</f>
        <v>1.0062</v>
      </c>
      <c r="CT96">
        <f>VLOOKUP(Sales[[#This Row],[Decade]],Lookups!$M$23:$P$35,4,FALSE)</f>
        <v>1.0153000000000001</v>
      </c>
      <c r="CU96">
        <f>Sales[[#This Row],[Nbhd Adj]]*0.95</f>
        <v>0.92691499999999993</v>
      </c>
      <c r="CV96">
        <f>Sales[[#This Row],[Nbhd Adj]]*Sales[[#This Row],[Quality Adj]]*Sales[[#This Row],[Condition Adj]]*Sales[[#This Row],[Living Area Adj]]*Sales[[#This Row],[Decade Adj]]*0.95</f>
        <v>0.90544119505102505</v>
      </c>
      <c r="CW96">
        <f>ROUND(SUM(Sales[[#This Row],[Mdl Qlty]:[Mdl GarageArea]])+Sales[[#This Row],[Mdl Res Intercept]]*Sales[[#This Row],[Res Adj ]],-2)</f>
        <v>259400</v>
      </c>
      <c r="CX96">
        <f>ROUND(Sales[[#This Row],[25Det]]*Sales[[#This Row],[Det/Nbhd Adj]],-2)</f>
        <v>11500</v>
      </c>
      <c r="CY96">
        <f>Sales[[#This Row],[Adjusted Res]]+Sales[[#This Row],[Adj Det ]]</f>
        <v>270900</v>
      </c>
      <c r="CZ96">
        <f>ROUND((Sales[[#This Row],[Mdl Land Intercept]]+Sales[[#This Row],[Mdl LnAcres]])*Sales[[#This Row],[Det/Nbhd Adj]],-2)</f>
        <v>-500</v>
      </c>
      <c r="DA96">
        <f>Sales[[#This Row],[Adjusted Impr Total]]+Sales[[#This Row],[Adjusted Land Total]]</f>
        <v>270400</v>
      </c>
      <c r="DB96">
        <f>IFERROR((Sales[[#This Row],[Adjusted Impr Total]]-Sales[[#This Row],[24Bldg]])/Sales[[#This Row],[24Bldg]],0)</f>
        <v>0.18763700131521263</v>
      </c>
      <c r="DC96">
        <f>(Sales[[#This Row],[Adjusted Land Total]]-Sales[[#This Row],[24Lnd]])/Sales[[#This Row],[24Lnd]]</f>
        <v>-1.0124069478908189</v>
      </c>
      <c r="DD96">
        <f>(Sales[[#This Row],[Adjusted Total]]-Sales[[#This Row],[24Final]])/Sales[[#This Row],[24Final]]</f>
        <v>7.4515648286140089E-3</v>
      </c>
      <c r="DE96">
        <f>(Sales[[#This Row],[Adjusted Total]]+Sales[[#This Row],[Days Prior Total]])/Sales[[#This Row],[Price]]</f>
        <v>0.90325745390441181</v>
      </c>
    </row>
    <row r="97" spans="1:109" x14ac:dyDescent="0.3">
      <c r="A97">
        <v>2025</v>
      </c>
      <c r="B97">
        <v>18131644570</v>
      </c>
      <c r="C97">
        <v>-3.5065578973199818</v>
      </c>
      <c r="D97">
        <v>0.03</v>
      </c>
      <c r="E97">
        <v>1153</v>
      </c>
      <c r="F97">
        <v>5</v>
      </c>
      <c r="G97" t="s">
        <v>25</v>
      </c>
      <c r="H97">
        <v>3042</v>
      </c>
      <c r="I97" t="s">
        <v>302</v>
      </c>
      <c r="J97" t="s">
        <v>26</v>
      </c>
      <c r="K97">
        <v>11</v>
      </c>
      <c r="L97">
        <v>262</v>
      </c>
      <c r="M97" t="s">
        <v>273</v>
      </c>
      <c r="N97" t="s">
        <v>111</v>
      </c>
      <c r="O97" t="s">
        <v>231</v>
      </c>
      <c r="P97">
        <v>1980</v>
      </c>
      <c r="Q97">
        <v>1980</v>
      </c>
      <c r="R97">
        <v>50</v>
      </c>
      <c r="S97">
        <v>44</v>
      </c>
      <c r="T97">
        <v>44</v>
      </c>
      <c r="U97">
        <v>1</v>
      </c>
      <c r="V97">
        <v>1160</v>
      </c>
      <c r="W97">
        <v>0</v>
      </c>
      <c r="X97">
        <v>0</v>
      </c>
      <c r="Y97">
        <v>0</v>
      </c>
      <c r="Z97">
        <v>0</v>
      </c>
      <c r="AA97">
        <v>0</v>
      </c>
      <c r="AB97">
        <v>1160</v>
      </c>
      <c r="AC97">
        <v>1500</v>
      </c>
      <c r="AD97">
        <v>0</v>
      </c>
      <c r="AF97" t="s">
        <v>153</v>
      </c>
      <c r="AG97" t="s">
        <v>274</v>
      </c>
      <c r="AI97">
        <v>0</v>
      </c>
      <c r="AJ97">
        <v>1</v>
      </c>
      <c r="AK97">
        <v>0</v>
      </c>
      <c r="AL97">
        <v>0</v>
      </c>
      <c r="AM97">
        <v>0</v>
      </c>
      <c r="AN97">
        <v>8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100</v>
      </c>
      <c r="AW97">
        <v>100</v>
      </c>
      <c r="AX97">
        <v>207845</v>
      </c>
      <c r="AY97">
        <v>164198</v>
      </c>
      <c r="AZ97">
        <v>503</v>
      </c>
      <c r="BA97">
        <v>365</v>
      </c>
      <c r="BB97">
        <v>138</v>
      </c>
      <c r="BC97">
        <v>0</v>
      </c>
      <c r="BD97" s="6">
        <v>44789</v>
      </c>
      <c r="BE97" t="s">
        <v>235</v>
      </c>
      <c r="BF97">
        <v>283000</v>
      </c>
      <c r="BG97">
        <v>270605</v>
      </c>
      <c r="BH97" t="s">
        <v>198</v>
      </c>
      <c r="BI97">
        <v>30</v>
      </c>
      <c r="BJ97" t="s">
        <v>51</v>
      </c>
      <c r="BK97" t="s">
        <v>314</v>
      </c>
      <c r="BL97">
        <v>270500</v>
      </c>
      <c r="BM97">
        <v>40600</v>
      </c>
      <c r="BN97">
        <v>229900</v>
      </c>
      <c r="BO97">
        <v>12395</v>
      </c>
      <c r="BP97">
        <v>0.95583038869257952</v>
      </c>
      <c r="BQ97">
        <v>222508.97012519219</v>
      </c>
      <c r="BR97">
        <v>267108.13919429248</v>
      </c>
      <c r="BS97" s="7">
        <f>(BR97-BL97)/BL97</f>
        <v>-1.2539226638475114E-2</v>
      </c>
      <c r="BT97" s="14">
        <f>(Sales[[#This Row],[DP1]]*Lookups!$B$51)+(Sales[[#This Row],[DP2]]*Lookups!$B$52)+(Sales[[#This Row],[DP3]]*Lookups!$B$53)</f>
        <v>-44599.182652000003</v>
      </c>
      <c r="BU97" s="14">
        <f>Lookups!$B$48*0.5</f>
        <v>87214.824999999997</v>
      </c>
      <c r="BV97" s="14">
        <f>Lookups!$B$48*0.5</f>
        <v>87214.824999999997</v>
      </c>
      <c r="BW97" s="14">
        <f>Lookups!$B$49*Sales[[#This Row],[LnAcres]]</f>
        <v>-87761.591044208326</v>
      </c>
      <c r="BX97" s="14">
        <f>VLOOKUP(Sales[[#This Row],[Qlty]],Lookups!$A$54:$E$67,2,FALSE)</f>
        <v>-14329.694740000001</v>
      </c>
      <c r="BY97" s="14">
        <f>VLOOKUP(Sales[[#This Row],[Cnd]],Lookups!$A$68:$E$76,2,FALSE)</f>
        <v>0</v>
      </c>
      <c r="BZ97" s="14">
        <f>Sales[[#This Row],[Age]]*Lookups!$B$77</f>
        <v>8118.5469199999998</v>
      </c>
      <c r="CA97" s="14">
        <f>Sales[[#This Row],[MainFn]]*Lookups!$B$78</f>
        <v>80136.812440000009</v>
      </c>
      <c r="CB97" s="14">
        <f>Sales[[#This Row],[UpprFn]]*Lookups!$B$79</f>
        <v>0</v>
      </c>
      <c r="CC97" s="14">
        <f>Sales[[#This Row],[AddFn]]*Lookups!$B$80</f>
        <v>0</v>
      </c>
      <c r="CD97" s="14">
        <f>Sales[[#This Row],[Bsmt]]*Lookups!$B$81</f>
        <v>0</v>
      </c>
      <c r="CE97" s="14">
        <f>Sales[[#This Row],[Fixtures]]*Lookups!$B$84</f>
        <v>81240.800000000003</v>
      </c>
      <c r="CF97" s="14">
        <f>Sales[[#This Row],[MsnryFP]]*Lookups!$B$82</f>
        <v>25273.623</v>
      </c>
      <c r="CG97" s="14">
        <f>Sales[[#This Row],[PrefabFP]]*Lookups!$B$83</f>
        <v>0</v>
      </c>
      <c r="CH97" s="14">
        <f>Sales[[#This Row],[GarageArea]]*Lookups!$B$85</f>
        <v>0</v>
      </c>
      <c r="CI97" s="14">
        <f>SUM(Sales[[#This Row],[Days Prior Total]:[Mdl GarageArea]])</f>
        <v>222508.96392379169</v>
      </c>
      <c r="CJ97" s="14">
        <f>ROUND(Sales[[#This Row],[25Det]],-2)</f>
        <v>12400</v>
      </c>
      <c r="CK97" s="14">
        <f>ROUND(SUM(Sales[[#This Row],[Mdl Qlty]:[Mdl GarageArea]])+Sales[[#This Row],[Mdl Res Intercept]]+Sales[[#This Row],[Days Prior Total]],-2)</f>
        <v>223100</v>
      </c>
      <c r="CL97" s="14">
        <f>ROUND(Sales[[#This Row],[Mdl Land Intercept]]+Sales[[#This Row],[Mdl LnAcres]],-2)</f>
        <v>-500</v>
      </c>
      <c r="CM97" s="14">
        <f>Sales[[#This Row],[Unadj Res Value]]+Sales[[#This Row],[Unadj Det Value]]+Sales[[#This Row],[Unadj Land Value]]</f>
        <v>235000</v>
      </c>
      <c r="CN97" s="15">
        <f>Sales[[#This Row],[Unadj Total Value]]/Sales[[#This Row],[Price]]</f>
        <v>0.83038869257950532</v>
      </c>
      <c r="CO97" s="15">
        <f>(Sales[[#This Row],[Unadj Total Value]]-Sales[[#This Row],[24Final]])/Sales[[#This Row],[24Final]]</f>
        <v>-0.13123844731977818</v>
      </c>
      <c r="CP97">
        <f>VLOOKUP(Sales[[#This Row],[TNbhd]],Lookups!$M$2:$P$4,4,FALSE)</f>
        <v>0.97570000000000001</v>
      </c>
      <c r="CQ97">
        <f>VLOOKUP(Sales[[#This Row],[Qlty]],Lookups!$M$6:$P$20,4,FALSE)</f>
        <v>0.98809999999999998</v>
      </c>
      <c r="CR97">
        <f>VLOOKUP(Sales[[#This Row],[Cnd]],Lookups!$R$6:$U$15,4,FALSE)</f>
        <v>0.9677</v>
      </c>
      <c r="CS97">
        <f>VLOOKUP(Sales[[#This Row],[LivArea Range]],Lookups!$R$23:$U$39,4,FALSE)</f>
        <v>1.0062</v>
      </c>
      <c r="CT97">
        <f>VLOOKUP(Sales[[#This Row],[Decade]],Lookups!$M$23:$P$35,4,FALSE)</f>
        <v>1.0153000000000001</v>
      </c>
      <c r="CU97">
        <f>Sales[[#This Row],[Nbhd Adj]]*0.95</f>
        <v>0.92691499999999993</v>
      </c>
      <c r="CV97">
        <f>Sales[[#This Row],[Nbhd Adj]]*Sales[[#This Row],[Quality Adj]]*Sales[[#This Row],[Condition Adj]]*Sales[[#This Row],[Living Area Adj]]*Sales[[#This Row],[Decade Adj]]*0.95</f>
        <v>0.90544119505102505</v>
      </c>
      <c r="CW97">
        <f>ROUND(SUM(Sales[[#This Row],[Mdl Qlty]:[Mdl GarageArea]])+Sales[[#This Row],[Mdl Res Intercept]]*Sales[[#This Row],[Res Adj ]],-2)</f>
        <v>259400</v>
      </c>
      <c r="CX97">
        <f>ROUND(Sales[[#This Row],[25Det]]*Sales[[#This Row],[Det/Nbhd Adj]],-2)</f>
        <v>11500</v>
      </c>
      <c r="CY97">
        <f>Sales[[#This Row],[Adjusted Res]]+Sales[[#This Row],[Adj Det ]]</f>
        <v>270900</v>
      </c>
      <c r="CZ97">
        <f>ROUND((Sales[[#This Row],[Mdl Land Intercept]]+Sales[[#This Row],[Mdl LnAcres]])*Sales[[#This Row],[Det/Nbhd Adj]],-2)</f>
        <v>-500</v>
      </c>
      <c r="DA97">
        <f>Sales[[#This Row],[Adjusted Impr Total]]+Sales[[#This Row],[Adjusted Land Total]]</f>
        <v>270400</v>
      </c>
      <c r="DB97">
        <f>IFERROR((Sales[[#This Row],[Adjusted Impr Total]]-Sales[[#This Row],[24Bldg]])/Sales[[#This Row],[24Bldg]],0)</f>
        <v>0.17833840800347978</v>
      </c>
      <c r="DC97">
        <f>(Sales[[#This Row],[Adjusted Land Total]]-Sales[[#This Row],[24Lnd]])/Sales[[#This Row],[24Lnd]]</f>
        <v>-1.0123152709359606</v>
      </c>
      <c r="DD97">
        <f>(Sales[[#This Row],[Adjusted Total]]-Sales[[#This Row],[24Final]])/Sales[[#This Row],[24Final]]</f>
        <v>-3.6968576709796671E-4</v>
      </c>
      <c r="DE97">
        <f>(Sales[[#This Row],[Adjusted Total]]+Sales[[#This Row],[Days Prior Total]])/Sales[[#This Row],[Price]]</f>
        <v>0.79788274681272087</v>
      </c>
    </row>
    <row r="98" spans="1:109" x14ac:dyDescent="0.3">
      <c r="A98">
        <v>2025</v>
      </c>
      <c r="B98">
        <v>18131644565</v>
      </c>
      <c r="C98">
        <v>-3.5065578973199818</v>
      </c>
      <c r="D98">
        <v>0.03</v>
      </c>
      <c r="E98">
        <v>1160</v>
      </c>
      <c r="F98">
        <v>5</v>
      </c>
      <c r="G98" t="s">
        <v>25</v>
      </c>
      <c r="H98">
        <v>3042</v>
      </c>
      <c r="I98" t="s">
        <v>302</v>
      </c>
      <c r="J98" t="s">
        <v>26</v>
      </c>
      <c r="K98">
        <v>11</v>
      </c>
      <c r="L98">
        <v>262</v>
      </c>
      <c r="M98" t="s">
        <v>273</v>
      </c>
      <c r="N98" t="s">
        <v>111</v>
      </c>
      <c r="O98" t="s">
        <v>231</v>
      </c>
      <c r="P98">
        <v>1980</v>
      </c>
      <c r="Q98">
        <v>1980</v>
      </c>
      <c r="R98">
        <v>50</v>
      </c>
      <c r="S98">
        <v>44</v>
      </c>
      <c r="T98">
        <v>44</v>
      </c>
      <c r="U98">
        <v>1</v>
      </c>
      <c r="V98">
        <v>1160</v>
      </c>
      <c r="W98">
        <v>0</v>
      </c>
      <c r="X98">
        <v>0</v>
      </c>
      <c r="Y98">
        <v>0</v>
      </c>
      <c r="Z98">
        <v>0</v>
      </c>
      <c r="AA98">
        <v>0</v>
      </c>
      <c r="AB98">
        <v>1160</v>
      </c>
      <c r="AC98">
        <v>1500</v>
      </c>
      <c r="AD98">
        <v>0</v>
      </c>
      <c r="AF98" t="s">
        <v>232</v>
      </c>
      <c r="AG98" t="s">
        <v>274</v>
      </c>
      <c r="AI98">
        <v>0</v>
      </c>
      <c r="AJ98">
        <v>1</v>
      </c>
      <c r="AK98">
        <v>0</v>
      </c>
      <c r="AL98">
        <v>0</v>
      </c>
      <c r="AM98">
        <v>0</v>
      </c>
      <c r="AN98">
        <v>8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100</v>
      </c>
      <c r="AW98">
        <v>100</v>
      </c>
      <c r="AX98">
        <v>240409</v>
      </c>
      <c r="AY98">
        <v>187519</v>
      </c>
      <c r="AZ98">
        <v>145</v>
      </c>
      <c r="BA98">
        <v>145</v>
      </c>
      <c r="BB98">
        <v>0</v>
      </c>
      <c r="BC98">
        <v>0</v>
      </c>
      <c r="BD98" s="6">
        <v>45147</v>
      </c>
      <c r="BE98" t="s">
        <v>93</v>
      </c>
      <c r="BF98">
        <v>252500</v>
      </c>
      <c r="BG98">
        <v>240105</v>
      </c>
      <c r="BH98" t="s">
        <v>198</v>
      </c>
      <c r="BI98">
        <v>30</v>
      </c>
      <c r="BJ98" t="s">
        <v>51</v>
      </c>
      <c r="BK98" t="s">
        <v>314</v>
      </c>
      <c r="BL98">
        <v>261800</v>
      </c>
      <c r="BM98">
        <v>39300</v>
      </c>
      <c r="BN98">
        <v>222500</v>
      </c>
      <c r="BO98">
        <v>12395</v>
      </c>
      <c r="BP98">
        <v>1.0368316831683169</v>
      </c>
      <c r="BQ98">
        <v>244174.65459955879</v>
      </c>
      <c r="BR98">
        <v>267108.13919429248</v>
      </c>
      <c r="BS98" s="7">
        <f>(BR98-BL98)/BL98</f>
        <v>2.0275550780337975E-2</v>
      </c>
      <c r="BT98" s="14">
        <f>(Sales[[#This Row],[DP1]]*Lookups!$B$51)+(Sales[[#This Row],[DP2]]*Lookups!$B$52)+(Sales[[#This Row],[DP3]]*Lookups!$B$53)</f>
        <v>-22933.49</v>
      </c>
      <c r="BU98" s="14">
        <f>Lookups!$B$48*0.5</f>
        <v>87214.824999999997</v>
      </c>
      <c r="BV98" s="14">
        <f>Lookups!$B$48*0.5</f>
        <v>87214.824999999997</v>
      </c>
      <c r="BW98" s="14">
        <f>Lookups!$B$49*Sales[[#This Row],[LnAcres]]</f>
        <v>-87761.591044208326</v>
      </c>
      <c r="BX98" s="14">
        <f>VLOOKUP(Sales[[#This Row],[Qlty]],Lookups!$A$54:$E$67,2,FALSE)</f>
        <v>-14329.694740000001</v>
      </c>
      <c r="BY98" s="14">
        <f>VLOOKUP(Sales[[#This Row],[Cnd]],Lookups!$A$68:$E$76,2,FALSE)</f>
        <v>0</v>
      </c>
      <c r="BZ98" s="14">
        <f>Sales[[#This Row],[Age]]*Lookups!$B$77</f>
        <v>8118.5469199999998</v>
      </c>
      <c r="CA98" s="14">
        <f>Sales[[#This Row],[MainFn]]*Lookups!$B$78</f>
        <v>80136.812440000009</v>
      </c>
      <c r="CB98" s="14">
        <f>Sales[[#This Row],[UpprFn]]*Lookups!$B$79</f>
        <v>0</v>
      </c>
      <c r="CC98" s="14">
        <f>Sales[[#This Row],[AddFn]]*Lookups!$B$80</f>
        <v>0</v>
      </c>
      <c r="CD98" s="14">
        <f>Sales[[#This Row],[Bsmt]]*Lookups!$B$81</f>
        <v>0</v>
      </c>
      <c r="CE98" s="14">
        <f>Sales[[#This Row],[Fixtures]]*Lookups!$B$84</f>
        <v>81240.800000000003</v>
      </c>
      <c r="CF98" s="14">
        <f>Sales[[#This Row],[MsnryFP]]*Lookups!$B$82</f>
        <v>25273.623</v>
      </c>
      <c r="CG98" s="14">
        <f>Sales[[#This Row],[PrefabFP]]*Lookups!$B$83</f>
        <v>0</v>
      </c>
      <c r="CH98" s="14">
        <f>Sales[[#This Row],[GarageArea]]*Lookups!$B$85</f>
        <v>0</v>
      </c>
      <c r="CI98" s="14">
        <f>SUM(Sales[[#This Row],[Days Prior Total]:[Mdl GarageArea]])</f>
        <v>244174.65657579163</v>
      </c>
      <c r="CJ98" s="14">
        <f>ROUND(Sales[[#This Row],[25Det]],-2)</f>
        <v>12400</v>
      </c>
      <c r="CK98" s="14">
        <f>ROUND(SUM(Sales[[#This Row],[Mdl Qlty]:[Mdl GarageArea]])+Sales[[#This Row],[Mdl Res Intercept]]+Sales[[#This Row],[Days Prior Total]],-2)</f>
        <v>244700</v>
      </c>
      <c r="CL98" s="14">
        <f>ROUND(Sales[[#This Row],[Mdl Land Intercept]]+Sales[[#This Row],[Mdl LnAcres]],-2)</f>
        <v>-500</v>
      </c>
      <c r="CM98" s="14">
        <f>Sales[[#This Row],[Unadj Res Value]]+Sales[[#This Row],[Unadj Det Value]]+Sales[[#This Row],[Unadj Land Value]]</f>
        <v>256600</v>
      </c>
      <c r="CN98" s="15">
        <f>Sales[[#This Row],[Unadj Total Value]]/Sales[[#This Row],[Price]]</f>
        <v>1.0162376237623763</v>
      </c>
      <c r="CO98" s="15">
        <f>(Sales[[#This Row],[Unadj Total Value]]-Sales[[#This Row],[24Final]])/Sales[[#This Row],[24Final]]</f>
        <v>-1.9862490450725745E-2</v>
      </c>
      <c r="CP98">
        <f>VLOOKUP(Sales[[#This Row],[TNbhd]],Lookups!$M$2:$P$4,4,FALSE)</f>
        <v>0.97570000000000001</v>
      </c>
      <c r="CQ98">
        <f>VLOOKUP(Sales[[#This Row],[Qlty]],Lookups!$M$6:$P$20,4,FALSE)</f>
        <v>0.98809999999999998</v>
      </c>
      <c r="CR98">
        <f>VLOOKUP(Sales[[#This Row],[Cnd]],Lookups!$R$6:$U$15,4,FALSE)</f>
        <v>0.9677</v>
      </c>
      <c r="CS98">
        <f>VLOOKUP(Sales[[#This Row],[LivArea Range]],Lookups!$R$23:$U$39,4,FALSE)</f>
        <v>1.0062</v>
      </c>
      <c r="CT98">
        <f>VLOOKUP(Sales[[#This Row],[Decade]],Lookups!$M$23:$P$35,4,FALSE)</f>
        <v>1.0153000000000001</v>
      </c>
      <c r="CU98">
        <f>Sales[[#This Row],[Nbhd Adj]]*0.95</f>
        <v>0.92691499999999993</v>
      </c>
      <c r="CV98">
        <f>Sales[[#This Row],[Nbhd Adj]]*Sales[[#This Row],[Quality Adj]]*Sales[[#This Row],[Condition Adj]]*Sales[[#This Row],[Living Area Adj]]*Sales[[#This Row],[Decade Adj]]*0.95</f>
        <v>0.90544119505102505</v>
      </c>
      <c r="CW98">
        <f>ROUND(SUM(Sales[[#This Row],[Mdl Qlty]:[Mdl GarageArea]])+Sales[[#This Row],[Mdl Res Intercept]]*Sales[[#This Row],[Res Adj ]],-2)</f>
        <v>259400</v>
      </c>
      <c r="CX98">
        <f>ROUND(Sales[[#This Row],[25Det]]*Sales[[#This Row],[Det/Nbhd Adj]],-2)</f>
        <v>11500</v>
      </c>
      <c r="CY98">
        <f>Sales[[#This Row],[Adjusted Res]]+Sales[[#This Row],[Adj Det ]]</f>
        <v>270900</v>
      </c>
      <c r="CZ98">
        <f>ROUND((Sales[[#This Row],[Mdl Land Intercept]]+Sales[[#This Row],[Mdl LnAcres]])*Sales[[#This Row],[Det/Nbhd Adj]],-2)</f>
        <v>-500</v>
      </c>
      <c r="DA98">
        <f>Sales[[#This Row],[Adjusted Impr Total]]+Sales[[#This Row],[Adjusted Land Total]]</f>
        <v>270400</v>
      </c>
      <c r="DB98">
        <f>IFERROR((Sales[[#This Row],[Adjusted Impr Total]]-Sales[[#This Row],[24Bldg]])/Sales[[#This Row],[24Bldg]],0)</f>
        <v>0.21752808988764044</v>
      </c>
      <c r="DC98">
        <f>(Sales[[#This Row],[Adjusted Land Total]]-Sales[[#This Row],[24Lnd]])/Sales[[#This Row],[24Lnd]]</f>
        <v>-1.0127226463104326</v>
      </c>
      <c r="DD98">
        <f>(Sales[[#This Row],[Adjusted Total]]-Sales[[#This Row],[24Final]])/Sales[[#This Row],[24Final]]</f>
        <v>3.2849503437738729E-2</v>
      </c>
      <c r="DE98">
        <f>(Sales[[#This Row],[Adjusted Total]]+Sales[[#This Row],[Days Prior Total]])/Sales[[#This Row],[Price]]</f>
        <v>0.98006538613861394</v>
      </c>
    </row>
    <row r="99" spans="1:109" x14ac:dyDescent="0.3">
      <c r="A99">
        <v>2025</v>
      </c>
      <c r="B99">
        <v>18131644577</v>
      </c>
      <c r="C99">
        <v>-3.5065578973199818</v>
      </c>
      <c r="D99">
        <v>0.03</v>
      </c>
      <c r="E99">
        <v>1153</v>
      </c>
      <c r="F99">
        <v>5</v>
      </c>
      <c r="G99" t="s">
        <v>25</v>
      </c>
      <c r="H99">
        <v>3042</v>
      </c>
      <c r="I99" t="s">
        <v>302</v>
      </c>
      <c r="J99" t="s">
        <v>26</v>
      </c>
      <c r="K99">
        <v>11</v>
      </c>
      <c r="L99">
        <v>262</v>
      </c>
      <c r="M99" t="s">
        <v>273</v>
      </c>
      <c r="N99" t="s">
        <v>111</v>
      </c>
      <c r="O99" t="s">
        <v>231</v>
      </c>
      <c r="P99">
        <v>1980</v>
      </c>
      <c r="Q99">
        <v>1980</v>
      </c>
      <c r="R99">
        <v>50</v>
      </c>
      <c r="S99">
        <v>44</v>
      </c>
      <c r="T99">
        <v>44</v>
      </c>
      <c r="U99">
        <v>1</v>
      </c>
      <c r="V99">
        <v>1160</v>
      </c>
      <c r="W99">
        <v>0</v>
      </c>
      <c r="X99">
        <v>0</v>
      </c>
      <c r="Y99">
        <v>0</v>
      </c>
      <c r="Z99">
        <v>0</v>
      </c>
      <c r="AA99">
        <v>0</v>
      </c>
      <c r="AB99">
        <v>1160</v>
      </c>
      <c r="AC99">
        <v>1500</v>
      </c>
      <c r="AD99">
        <v>0</v>
      </c>
      <c r="AF99" t="s">
        <v>232</v>
      </c>
      <c r="AG99" t="s">
        <v>274</v>
      </c>
      <c r="AH99" t="s">
        <v>51</v>
      </c>
      <c r="AI99">
        <v>0</v>
      </c>
      <c r="AJ99">
        <v>1</v>
      </c>
      <c r="AK99">
        <v>0</v>
      </c>
      <c r="AL99">
        <v>0</v>
      </c>
      <c r="AM99">
        <v>0</v>
      </c>
      <c r="AN99">
        <v>8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100</v>
      </c>
      <c r="AW99">
        <v>100</v>
      </c>
      <c r="AX99">
        <v>202439</v>
      </c>
      <c r="AY99">
        <v>159927</v>
      </c>
      <c r="AZ99">
        <v>600</v>
      </c>
      <c r="BA99">
        <v>365</v>
      </c>
      <c r="BB99">
        <v>235</v>
      </c>
      <c r="BC99">
        <v>0</v>
      </c>
      <c r="BD99" s="6">
        <v>44692</v>
      </c>
      <c r="BE99" t="s">
        <v>236</v>
      </c>
      <c r="BF99">
        <v>269000</v>
      </c>
      <c r="BG99">
        <v>256605</v>
      </c>
      <c r="BH99" t="s">
        <v>198</v>
      </c>
      <c r="BI99">
        <v>30</v>
      </c>
      <c r="BJ99" t="s">
        <v>51</v>
      </c>
      <c r="BK99" t="s">
        <v>314</v>
      </c>
      <c r="BL99">
        <v>250000</v>
      </c>
      <c r="BM99">
        <v>37500</v>
      </c>
      <c r="BN99">
        <v>212500</v>
      </c>
      <c r="BO99">
        <v>12395</v>
      </c>
      <c r="BP99">
        <v>0.92936802973977695</v>
      </c>
      <c r="BQ99">
        <v>231737.991070702</v>
      </c>
      <c r="BR99">
        <v>267108.13919429248</v>
      </c>
      <c r="BS99" s="7">
        <f>(BR99-BL99)/BL99</f>
        <v>6.8432556777169931E-2</v>
      </c>
      <c r="BT99" s="14">
        <f>(Sales[[#This Row],[DP1]]*Lookups!$B$51)+(Sales[[#This Row],[DP2]]*Lookups!$B$52)+(Sales[[#This Row],[DP3]]*Lookups!$B$53)</f>
        <v>-35370.161690000008</v>
      </c>
      <c r="BU99" s="14">
        <f>Lookups!$B$48*0.5</f>
        <v>87214.824999999997</v>
      </c>
      <c r="BV99" s="14">
        <f>Lookups!$B$48*0.5</f>
        <v>87214.824999999997</v>
      </c>
      <c r="BW99" s="14">
        <f>Lookups!$B$49*Sales[[#This Row],[LnAcres]]</f>
        <v>-87761.591044208326</v>
      </c>
      <c r="BX99" s="14">
        <f>VLOOKUP(Sales[[#This Row],[Qlty]],Lookups!$A$54:$E$67,2,FALSE)</f>
        <v>-14329.694740000001</v>
      </c>
      <c r="BY99" s="14">
        <f>VLOOKUP(Sales[[#This Row],[Cnd]],Lookups!$A$68:$E$76,2,FALSE)</f>
        <v>0</v>
      </c>
      <c r="BZ99" s="14">
        <f>Sales[[#This Row],[Age]]*Lookups!$B$77</f>
        <v>8118.5469199999998</v>
      </c>
      <c r="CA99" s="14">
        <f>Sales[[#This Row],[MainFn]]*Lookups!$B$78</f>
        <v>80136.812440000009</v>
      </c>
      <c r="CB99" s="14">
        <f>Sales[[#This Row],[UpprFn]]*Lookups!$B$79</f>
        <v>0</v>
      </c>
      <c r="CC99" s="14">
        <f>Sales[[#This Row],[AddFn]]*Lookups!$B$80</f>
        <v>0</v>
      </c>
      <c r="CD99" s="14">
        <f>Sales[[#This Row],[Bsmt]]*Lookups!$B$81</f>
        <v>0</v>
      </c>
      <c r="CE99" s="14">
        <f>Sales[[#This Row],[Fixtures]]*Lookups!$B$84</f>
        <v>81240.800000000003</v>
      </c>
      <c r="CF99" s="14">
        <f>Sales[[#This Row],[MsnryFP]]*Lookups!$B$82</f>
        <v>25273.623</v>
      </c>
      <c r="CG99" s="14">
        <f>Sales[[#This Row],[PrefabFP]]*Lookups!$B$83</f>
        <v>0</v>
      </c>
      <c r="CH99" s="14">
        <f>Sales[[#This Row],[GarageArea]]*Lookups!$B$85</f>
        <v>0</v>
      </c>
      <c r="CI99" s="14">
        <f>SUM(Sales[[#This Row],[Days Prior Total]:[Mdl GarageArea]])</f>
        <v>231737.98488579167</v>
      </c>
      <c r="CJ99" s="14">
        <f>ROUND(Sales[[#This Row],[25Det]],-2)</f>
        <v>12400</v>
      </c>
      <c r="CK99" s="14">
        <f>ROUND(SUM(Sales[[#This Row],[Mdl Qlty]:[Mdl GarageArea]])+Sales[[#This Row],[Mdl Res Intercept]]+Sales[[#This Row],[Days Prior Total]],-2)</f>
        <v>232300</v>
      </c>
      <c r="CL99" s="14">
        <f>ROUND(Sales[[#This Row],[Mdl Land Intercept]]+Sales[[#This Row],[Mdl LnAcres]],-2)</f>
        <v>-500</v>
      </c>
      <c r="CM99" s="14">
        <f>Sales[[#This Row],[Unadj Res Value]]+Sales[[#This Row],[Unadj Det Value]]+Sales[[#This Row],[Unadj Land Value]]</f>
        <v>244200</v>
      </c>
      <c r="CN99" s="15">
        <f>Sales[[#This Row],[Unadj Total Value]]/Sales[[#This Row],[Price]]</f>
        <v>0.90780669144981407</v>
      </c>
      <c r="CO99" s="15">
        <f>(Sales[[#This Row],[Unadj Total Value]]-Sales[[#This Row],[24Final]])/Sales[[#This Row],[24Final]]</f>
        <v>-2.3199999999999998E-2</v>
      </c>
      <c r="CP99">
        <f>VLOOKUP(Sales[[#This Row],[TNbhd]],Lookups!$M$2:$P$4,4,FALSE)</f>
        <v>0.97570000000000001</v>
      </c>
      <c r="CQ99">
        <f>VLOOKUP(Sales[[#This Row],[Qlty]],Lookups!$M$6:$P$20,4,FALSE)</f>
        <v>0.98809999999999998</v>
      </c>
      <c r="CR99">
        <f>VLOOKUP(Sales[[#This Row],[Cnd]],Lookups!$R$6:$U$15,4,FALSE)</f>
        <v>0.9677</v>
      </c>
      <c r="CS99">
        <f>VLOOKUP(Sales[[#This Row],[LivArea Range]],Lookups!$R$23:$U$39,4,FALSE)</f>
        <v>1.0062</v>
      </c>
      <c r="CT99">
        <f>VLOOKUP(Sales[[#This Row],[Decade]],Lookups!$M$23:$P$35,4,FALSE)</f>
        <v>1.0153000000000001</v>
      </c>
      <c r="CU99">
        <f>Sales[[#This Row],[Nbhd Adj]]*0.95</f>
        <v>0.92691499999999993</v>
      </c>
      <c r="CV99">
        <f>Sales[[#This Row],[Nbhd Adj]]*Sales[[#This Row],[Quality Adj]]*Sales[[#This Row],[Condition Adj]]*Sales[[#This Row],[Living Area Adj]]*Sales[[#This Row],[Decade Adj]]*0.95</f>
        <v>0.90544119505102505</v>
      </c>
      <c r="CW99">
        <f>ROUND(SUM(Sales[[#This Row],[Mdl Qlty]:[Mdl GarageArea]])+Sales[[#This Row],[Mdl Res Intercept]]*Sales[[#This Row],[Res Adj ]],-2)</f>
        <v>259400</v>
      </c>
      <c r="CX99">
        <f>ROUND(Sales[[#This Row],[25Det]]*Sales[[#This Row],[Det/Nbhd Adj]],-2)</f>
        <v>11500</v>
      </c>
      <c r="CY99">
        <f>Sales[[#This Row],[Adjusted Res]]+Sales[[#This Row],[Adj Det ]]</f>
        <v>270900</v>
      </c>
      <c r="CZ99">
        <f>ROUND((Sales[[#This Row],[Mdl Land Intercept]]+Sales[[#This Row],[Mdl LnAcres]])*Sales[[#This Row],[Det/Nbhd Adj]],-2)</f>
        <v>-500</v>
      </c>
      <c r="DA99">
        <f>Sales[[#This Row],[Adjusted Impr Total]]+Sales[[#This Row],[Adjusted Land Total]]</f>
        <v>270400</v>
      </c>
      <c r="DB99">
        <f>IFERROR((Sales[[#This Row],[Adjusted Impr Total]]-Sales[[#This Row],[24Bldg]])/Sales[[#This Row],[24Bldg]],0)</f>
        <v>0.27482352941176469</v>
      </c>
      <c r="DC99">
        <f>(Sales[[#This Row],[Adjusted Land Total]]-Sales[[#This Row],[24Lnd]])/Sales[[#This Row],[24Lnd]]</f>
        <v>-1.0133333333333334</v>
      </c>
      <c r="DD99">
        <f>(Sales[[#This Row],[Adjusted Total]]-Sales[[#This Row],[24Final]])/Sales[[#This Row],[24Final]]</f>
        <v>8.1600000000000006E-2</v>
      </c>
      <c r="DE99">
        <f>(Sales[[#This Row],[Adjusted Total]]+Sales[[#This Row],[Days Prior Total]])/Sales[[#This Row],[Price]]</f>
        <v>0.87371687104089213</v>
      </c>
    </row>
    <row r="100" spans="1:109" x14ac:dyDescent="0.3">
      <c r="A100">
        <v>2025</v>
      </c>
      <c r="B100">
        <v>18131644580</v>
      </c>
      <c r="C100">
        <v>-3.5065578973199818</v>
      </c>
      <c r="D100">
        <v>0.03</v>
      </c>
      <c r="E100">
        <v>1258</v>
      </c>
      <c r="F100">
        <v>5</v>
      </c>
      <c r="G100" t="s">
        <v>25</v>
      </c>
      <c r="H100">
        <v>3042</v>
      </c>
      <c r="I100" t="s">
        <v>302</v>
      </c>
      <c r="J100" t="s">
        <v>26</v>
      </c>
      <c r="K100">
        <v>11</v>
      </c>
      <c r="L100">
        <v>262</v>
      </c>
      <c r="M100" t="s">
        <v>273</v>
      </c>
      <c r="N100" t="s">
        <v>111</v>
      </c>
      <c r="O100" t="s">
        <v>231</v>
      </c>
      <c r="P100">
        <v>1980</v>
      </c>
      <c r="Q100">
        <v>1980</v>
      </c>
      <c r="R100">
        <v>50</v>
      </c>
      <c r="S100">
        <v>44</v>
      </c>
      <c r="T100">
        <v>44</v>
      </c>
      <c r="U100">
        <v>1</v>
      </c>
      <c r="V100">
        <v>1258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1258</v>
      </c>
      <c r="AC100">
        <v>1500</v>
      </c>
      <c r="AD100">
        <v>0</v>
      </c>
      <c r="AF100" t="s">
        <v>232</v>
      </c>
      <c r="AG100" t="s">
        <v>274</v>
      </c>
      <c r="AI100">
        <v>0</v>
      </c>
      <c r="AJ100">
        <v>1</v>
      </c>
      <c r="AK100">
        <v>0</v>
      </c>
      <c r="AL100">
        <v>0</v>
      </c>
      <c r="AM100">
        <v>0</v>
      </c>
      <c r="AN100">
        <v>8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100</v>
      </c>
      <c r="AW100">
        <v>100</v>
      </c>
      <c r="AX100">
        <v>211443</v>
      </c>
      <c r="AY100">
        <v>167040</v>
      </c>
      <c r="AZ100">
        <v>612</v>
      </c>
      <c r="BA100">
        <v>365</v>
      </c>
      <c r="BB100">
        <v>247</v>
      </c>
      <c r="BC100">
        <v>0</v>
      </c>
      <c r="BD100" s="6">
        <v>44680</v>
      </c>
      <c r="BE100" t="s">
        <v>177</v>
      </c>
      <c r="BF100">
        <v>265000</v>
      </c>
      <c r="BG100">
        <v>252605</v>
      </c>
      <c r="BH100" t="s">
        <v>198</v>
      </c>
      <c r="BI100">
        <v>30</v>
      </c>
      <c r="BJ100" t="s">
        <v>51</v>
      </c>
      <c r="BK100" t="s">
        <v>314</v>
      </c>
      <c r="BL100">
        <v>260000</v>
      </c>
      <c r="BM100">
        <v>39000</v>
      </c>
      <c r="BN100">
        <v>221000</v>
      </c>
      <c r="BO100">
        <v>12395</v>
      </c>
      <c r="BP100">
        <v>0.98113207547169812</v>
      </c>
      <c r="BQ100">
        <v>239649.90458881186</v>
      </c>
      <c r="BR100">
        <v>273878.31816244236</v>
      </c>
      <c r="BS100" s="7">
        <f>(BR100-BL100)/BL100</f>
        <v>5.3378146778624458E-2</v>
      </c>
      <c r="BT100" s="14">
        <f>(Sales[[#This Row],[DP1]]*Lookups!$B$51)+(Sales[[#This Row],[DP2]]*Lookups!$B$52)+(Sales[[#This Row],[DP3]]*Lookups!$B$53)</f>
        <v>-34228.427137999999</v>
      </c>
      <c r="BU100" s="14">
        <f>Lookups!$B$48*0.5</f>
        <v>87214.824999999997</v>
      </c>
      <c r="BV100" s="14">
        <f>Lookups!$B$48*0.5</f>
        <v>87214.824999999997</v>
      </c>
      <c r="BW100" s="14">
        <f>Lookups!$B$49*Sales[[#This Row],[LnAcres]]</f>
        <v>-87761.591044208326</v>
      </c>
      <c r="BX100" s="14">
        <f>VLOOKUP(Sales[[#This Row],[Qlty]],Lookups!$A$54:$E$67,2,FALSE)</f>
        <v>-14329.694740000001</v>
      </c>
      <c r="BY100" s="14">
        <f>VLOOKUP(Sales[[#This Row],[Cnd]],Lookups!$A$68:$E$76,2,FALSE)</f>
        <v>0</v>
      </c>
      <c r="BZ100" s="14">
        <f>Sales[[#This Row],[Age]]*Lookups!$B$77</f>
        <v>8118.5469199999998</v>
      </c>
      <c r="CA100" s="14">
        <f>Sales[[#This Row],[MainFn]]*Lookups!$B$78</f>
        <v>86906.991422000006</v>
      </c>
      <c r="CB100" s="14">
        <f>Sales[[#This Row],[UpprFn]]*Lookups!$B$79</f>
        <v>0</v>
      </c>
      <c r="CC100" s="14">
        <f>Sales[[#This Row],[AddFn]]*Lookups!$B$80</f>
        <v>0</v>
      </c>
      <c r="CD100" s="14">
        <f>Sales[[#This Row],[Bsmt]]*Lookups!$B$81</f>
        <v>0</v>
      </c>
      <c r="CE100" s="14">
        <f>Sales[[#This Row],[Fixtures]]*Lookups!$B$84</f>
        <v>81240.800000000003</v>
      </c>
      <c r="CF100" s="14">
        <f>Sales[[#This Row],[MsnryFP]]*Lookups!$B$82</f>
        <v>25273.623</v>
      </c>
      <c r="CG100" s="14">
        <f>Sales[[#This Row],[PrefabFP]]*Lookups!$B$83</f>
        <v>0</v>
      </c>
      <c r="CH100" s="14">
        <f>Sales[[#This Row],[GarageArea]]*Lookups!$B$85</f>
        <v>0</v>
      </c>
      <c r="CI100" s="14">
        <f>SUM(Sales[[#This Row],[Days Prior Total]:[Mdl GarageArea]])</f>
        <v>239649.89841979169</v>
      </c>
      <c r="CJ100" s="14">
        <f>ROUND(Sales[[#This Row],[25Det]],-2)</f>
        <v>12400</v>
      </c>
      <c r="CK100" s="14">
        <f>ROUND(SUM(Sales[[#This Row],[Mdl Qlty]:[Mdl GarageArea]])+Sales[[#This Row],[Mdl Res Intercept]]+Sales[[#This Row],[Days Prior Total]],-2)</f>
        <v>240200</v>
      </c>
      <c r="CL100" s="14">
        <f>ROUND(Sales[[#This Row],[Mdl Land Intercept]]+Sales[[#This Row],[Mdl LnAcres]],-2)</f>
        <v>-500</v>
      </c>
      <c r="CM100" s="14">
        <f>Sales[[#This Row],[Unadj Res Value]]+Sales[[#This Row],[Unadj Det Value]]+Sales[[#This Row],[Unadj Land Value]]</f>
        <v>252100</v>
      </c>
      <c r="CN100" s="15">
        <f>Sales[[#This Row],[Unadj Total Value]]/Sales[[#This Row],[Price]]</f>
        <v>0.95132075471698119</v>
      </c>
      <c r="CO100" s="15">
        <f>(Sales[[#This Row],[Unadj Total Value]]-Sales[[#This Row],[24Final]])/Sales[[#This Row],[24Final]]</f>
        <v>-3.0384615384615385E-2</v>
      </c>
      <c r="CP100">
        <f>VLOOKUP(Sales[[#This Row],[TNbhd]],Lookups!$M$2:$P$4,4,FALSE)</f>
        <v>0.97570000000000001</v>
      </c>
      <c r="CQ100">
        <f>VLOOKUP(Sales[[#This Row],[Qlty]],Lookups!$M$6:$P$20,4,FALSE)</f>
        <v>0.98809999999999998</v>
      </c>
      <c r="CR100">
        <f>VLOOKUP(Sales[[#This Row],[Cnd]],Lookups!$R$6:$U$15,4,FALSE)</f>
        <v>0.9677</v>
      </c>
      <c r="CS100">
        <f>VLOOKUP(Sales[[#This Row],[LivArea Range]],Lookups!$R$23:$U$39,4,FALSE)</f>
        <v>1.0062</v>
      </c>
      <c r="CT100">
        <f>VLOOKUP(Sales[[#This Row],[Decade]],Lookups!$M$23:$P$35,4,FALSE)</f>
        <v>1.0153000000000001</v>
      </c>
      <c r="CU100">
        <f>Sales[[#This Row],[Nbhd Adj]]*0.95</f>
        <v>0.92691499999999993</v>
      </c>
      <c r="CV100">
        <f>Sales[[#This Row],[Nbhd Adj]]*Sales[[#This Row],[Quality Adj]]*Sales[[#This Row],[Condition Adj]]*Sales[[#This Row],[Living Area Adj]]*Sales[[#This Row],[Decade Adj]]*0.95</f>
        <v>0.90544119505102505</v>
      </c>
      <c r="CW100">
        <f>ROUND(SUM(Sales[[#This Row],[Mdl Qlty]:[Mdl GarageArea]])+Sales[[#This Row],[Mdl Res Intercept]]*Sales[[#This Row],[Res Adj ]],-2)</f>
        <v>266200</v>
      </c>
      <c r="CX100">
        <f>ROUND(Sales[[#This Row],[25Det]]*Sales[[#This Row],[Det/Nbhd Adj]],-2)</f>
        <v>11500</v>
      </c>
      <c r="CY100">
        <f>Sales[[#This Row],[Adjusted Res]]+Sales[[#This Row],[Adj Det ]]</f>
        <v>277700</v>
      </c>
      <c r="CZ100">
        <f>ROUND((Sales[[#This Row],[Mdl Land Intercept]]+Sales[[#This Row],[Mdl LnAcres]])*Sales[[#This Row],[Det/Nbhd Adj]],-2)</f>
        <v>-500</v>
      </c>
      <c r="DA100">
        <f>Sales[[#This Row],[Adjusted Impr Total]]+Sales[[#This Row],[Adjusted Land Total]]</f>
        <v>277200</v>
      </c>
      <c r="DB100">
        <f>IFERROR((Sales[[#This Row],[Adjusted Impr Total]]-Sales[[#This Row],[24Bldg]])/Sales[[#This Row],[24Bldg]],0)</f>
        <v>0.25656108597285066</v>
      </c>
      <c r="DC100">
        <f>(Sales[[#This Row],[Adjusted Land Total]]-Sales[[#This Row],[24Lnd]])/Sales[[#This Row],[24Lnd]]</f>
        <v>-1.0128205128205128</v>
      </c>
      <c r="DD100">
        <f>(Sales[[#This Row],[Adjusted Total]]-Sales[[#This Row],[24Final]])/Sales[[#This Row],[24Final]]</f>
        <v>6.615384615384616E-2</v>
      </c>
      <c r="DE100">
        <f>(Sales[[#This Row],[Adjusted Total]]+Sales[[#This Row],[Days Prior Total]])/Sales[[#This Row],[Price]]</f>
        <v>0.91687385985660375</v>
      </c>
    </row>
    <row r="101" spans="1:109" x14ac:dyDescent="0.3">
      <c r="A101">
        <v>2025</v>
      </c>
      <c r="B101">
        <v>18131533437</v>
      </c>
      <c r="C101">
        <v>-1.2729656758128873</v>
      </c>
      <c r="D101">
        <v>0.28000000000000003</v>
      </c>
      <c r="E101">
        <v>12349</v>
      </c>
      <c r="F101">
        <v>5</v>
      </c>
      <c r="G101" t="s">
        <v>89</v>
      </c>
      <c r="H101">
        <v>3042</v>
      </c>
      <c r="I101" t="s">
        <v>302</v>
      </c>
      <c r="J101" t="s">
        <v>26</v>
      </c>
      <c r="K101">
        <v>11</v>
      </c>
      <c r="L101">
        <v>259</v>
      </c>
      <c r="M101" t="s">
        <v>172</v>
      </c>
      <c r="N101" t="s">
        <v>205</v>
      </c>
      <c r="O101" t="s">
        <v>207</v>
      </c>
      <c r="P101">
        <v>1979</v>
      </c>
      <c r="Q101">
        <v>1980</v>
      </c>
      <c r="R101">
        <v>50</v>
      </c>
      <c r="S101">
        <v>45</v>
      </c>
      <c r="T101">
        <v>44</v>
      </c>
      <c r="U101">
        <v>1</v>
      </c>
      <c r="V101">
        <v>1574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1574</v>
      </c>
      <c r="AC101">
        <v>2000</v>
      </c>
      <c r="AD101">
        <v>2</v>
      </c>
      <c r="AE101" t="s">
        <v>5</v>
      </c>
      <c r="AF101" t="s">
        <v>275</v>
      </c>
      <c r="AG101" t="s">
        <v>111</v>
      </c>
      <c r="AH101" t="s">
        <v>314</v>
      </c>
      <c r="AI101">
        <v>0</v>
      </c>
      <c r="AJ101">
        <v>1</v>
      </c>
      <c r="AK101">
        <v>0</v>
      </c>
      <c r="AL101">
        <v>0</v>
      </c>
      <c r="AM101">
        <v>0</v>
      </c>
      <c r="AN101">
        <v>8</v>
      </c>
      <c r="AO101">
        <v>506</v>
      </c>
      <c r="AP101">
        <v>0</v>
      </c>
      <c r="AQ101">
        <v>506</v>
      </c>
      <c r="AR101">
        <v>0</v>
      </c>
      <c r="AS101">
        <v>0</v>
      </c>
      <c r="AT101">
        <v>320</v>
      </c>
      <c r="AU101">
        <v>0</v>
      </c>
      <c r="AV101">
        <v>100</v>
      </c>
      <c r="AW101">
        <v>100</v>
      </c>
      <c r="AX101">
        <v>282743</v>
      </c>
      <c r="AY101">
        <v>237504</v>
      </c>
      <c r="AZ101">
        <v>983</v>
      </c>
      <c r="BA101">
        <v>365</v>
      </c>
      <c r="BB101">
        <v>365</v>
      </c>
      <c r="BC101">
        <v>253</v>
      </c>
      <c r="BD101" s="6">
        <v>44309</v>
      </c>
      <c r="BE101" t="s">
        <v>212</v>
      </c>
      <c r="BF101">
        <v>387100</v>
      </c>
      <c r="BG101">
        <v>354285</v>
      </c>
      <c r="BH101" t="s">
        <v>198</v>
      </c>
      <c r="BI101">
        <v>30</v>
      </c>
      <c r="BJ101" t="s">
        <v>51</v>
      </c>
      <c r="BK101" t="s">
        <v>314</v>
      </c>
      <c r="BL101">
        <v>422500</v>
      </c>
      <c r="BM101">
        <v>88200</v>
      </c>
      <c r="BN101">
        <v>334300</v>
      </c>
      <c r="BO101">
        <v>32815</v>
      </c>
      <c r="BP101">
        <v>1.0914492379230174</v>
      </c>
      <c r="BQ101">
        <v>307654.82343777589</v>
      </c>
      <c r="BR101">
        <v>408728.45080380089</v>
      </c>
      <c r="BS101" s="7">
        <f>(BR101-BL101)/BL101</f>
        <v>-3.2595382712897296E-2</v>
      </c>
      <c r="BT101" s="14">
        <f>(Sales[[#This Row],[DP1]]*Lookups!$B$51)+(Sales[[#This Row],[DP2]]*Lookups!$B$52)+(Sales[[#This Row],[DP3]]*Lookups!$B$53)</f>
        <v>-101073.62871</v>
      </c>
      <c r="BU101" s="14">
        <f>Lookups!$B$48*0.5</f>
        <v>87214.824999999997</v>
      </c>
      <c r="BV101" s="14">
        <f>Lookups!$B$48*0.5</f>
        <v>87214.824999999997</v>
      </c>
      <c r="BW101" s="14">
        <f>Lookups!$B$49*Sales[[#This Row],[LnAcres]]</f>
        <v>-31859.58889753087</v>
      </c>
      <c r="BX101" s="14">
        <f>VLOOKUP(Sales[[#This Row],[Qlty]],Lookups!$A$54:$E$67,2,FALSE)</f>
        <v>30313.66692</v>
      </c>
      <c r="BY101" s="14">
        <f>VLOOKUP(Sales[[#This Row],[Cnd]],Lookups!$A$68:$E$76,2,FALSE)</f>
        <v>47273.897095</v>
      </c>
      <c r="BZ101" s="14">
        <f>Sales[[#This Row],[Age]]*Lookups!$B$77</f>
        <v>8303.0593499999995</v>
      </c>
      <c r="CA101" s="14">
        <f>Sales[[#This Row],[MainFn]]*Lookups!$B$78</f>
        <v>108737.36446600001</v>
      </c>
      <c r="CB101" s="14">
        <f>Sales[[#This Row],[UpprFn]]*Lookups!$B$79</f>
        <v>0</v>
      </c>
      <c r="CC101" s="14">
        <f>Sales[[#This Row],[AddFn]]*Lookups!$B$80</f>
        <v>0</v>
      </c>
      <c r="CD101" s="14">
        <f>Sales[[#This Row],[Bsmt]]*Lookups!$B$81</f>
        <v>0</v>
      </c>
      <c r="CE101" s="14">
        <f>Sales[[#This Row],[Fixtures]]*Lookups!$B$84</f>
        <v>81240.800000000003</v>
      </c>
      <c r="CF101" s="14">
        <f>Sales[[#This Row],[MsnryFP]]*Lookups!$B$82</f>
        <v>25273.623</v>
      </c>
      <c r="CG101" s="14">
        <f>Sales[[#This Row],[PrefabFP]]*Lookups!$B$83</f>
        <v>0</v>
      </c>
      <c r="CH101" s="14">
        <f>Sales[[#This Row],[GarageArea]]*Lookups!$B$85</f>
        <v>25643.319481999999</v>
      </c>
      <c r="CI101" s="14">
        <f>SUM(Sales[[#This Row],[Days Prior Total]:[Mdl GarageArea]])</f>
        <v>368282.16270546918</v>
      </c>
      <c r="CJ101" s="14">
        <f>ROUND(Sales[[#This Row],[25Det]],-2)</f>
        <v>32800</v>
      </c>
      <c r="CK101" s="14">
        <f>ROUND(SUM(Sales[[#This Row],[Mdl Qlty]:[Mdl GarageArea]])+Sales[[#This Row],[Mdl Res Intercept]]+Sales[[#This Row],[Days Prior Total]],-2)</f>
        <v>312900</v>
      </c>
      <c r="CL101" s="14">
        <f>ROUND(Sales[[#This Row],[Mdl Land Intercept]]+Sales[[#This Row],[Mdl LnAcres]],-2)</f>
        <v>55400</v>
      </c>
      <c r="CM101" s="14">
        <f>Sales[[#This Row],[Unadj Res Value]]+Sales[[#This Row],[Unadj Det Value]]+Sales[[#This Row],[Unadj Land Value]]</f>
        <v>401100</v>
      </c>
      <c r="CN101" s="15">
        <f>Sales[[#This Row],[Unadj Total Value]]/Sales[[#This Row],[Price]]</f>
        <v>1.0361663652802893</v>
      </c>
      <c r="CO101" s="15">
        <f>(Sales[[#This Row],[Unadj Total Value]]-Sales[[#This Row],[24Final]])/Sales[[#This Row],[24Final]]</f>
        <v>-5.06508875739645E-2</v>
      </c>
      <c r="CP101">
        <f>VLOOKUP(Sales[[#This Row],[TNbhd]],Lookups!$M$2:$P$4,4,FALSE)</f>
        <v>0.97570000000000001</v>
      </c>
      <c r="CQ101">
        <f>VLOOKUP(Sales[[#This Row],[Qlty]],Lookups!$M$6:$P$20,4,FALSE)</f>
        <v>0.85299999999999998</v>
      </c>
      <c r="CR101">
        <f>VLOOKUP(Sales[[#This Row],[Cnd]],Lookups!$R$6:$U$15,4,FALSE)</f>
        <v>0.97829999999999995</v>
      </c>
      <c r="CS101">
        <f>VLOOKUP(Sales[[#This Row],[LivArea Range]],Lookups!$R$23:$U$39,4,FALSE)</f>
        <v>0.99099999999999999</v>
      </c>
      <c r="CT101">
        <f>VLOOKUP(Sales[[#This Row],[Decade]],Lookups!$M$23:$P$35,4,FALSE)</f>
        <v>1.0153000000000001</v>
      </c>
      <c r="CU101">
        <f>Sales[[#This Row],[Nbhd Adj]]*0.95</f>
        <v>0.92691499999999993</v>
      </c>
      <c r="CV101">
        <f>Sales[[#This Row],[Nbhd Adj]]*Sales[[#This Row],[Quality Adj]]*Sales[[#This Row],[Condition Adj]]*Sales[[#This Row],[Living Area Adj]]*Sales[[#This Row],[Decade Adj]]*0.95</f>
        <v>0.77826775213812927</v>
      </c>
      <c r="CW101">
        <f>ROUND(SUM(Sales[[#This Row],[Mdl Qlty]:[Mdl GarageArea]])+Sales[[#This Row],[Mdl Res Intercept]]*Sales[[#This Row],[Res Adj ]],-2)</f>
        <v>394700</v>
      </c>
      <c r="CX101">
        <f>ROUND(Sales[[#This Row],[25Det]]*Sales[[#This Row],[Det/Nbhd Adj]],-2)</f>
        <v>30400</v>
      </c>
      <c r="CY101">
        <f>Sales[[#This Row],[Adjusted Res]]+Sales[[#This Row],[Adj Det ]]</f>
        <v>425100</v>
      </c>
      <c r="CZ101">
        <f>ROUND((Sales[[#This Row],[Mdl Land Intercept]]+Sales[[#This Row],[Mdl LnAcres]])*Sales[[#This Row],[Det/Nbhd Adj]],-2)</f>
        <v>51300</v>
      </c>
      <c r="DA101">
        <f>Sales[[#This Row],[Adjusted Impr Total]]+Sales[[#This Row],[Adjusted Land Total]]</f>
        <v>476400</v>
      </c>
      <c r="DB101">
        <f>IFERROR((Sales[[#This Row],[Adjusted Impr Total]]-Sales[[#This Row],[24Bldg]])/Sales[[#This Row],[24Bldg]],0)</f>
        <v>0.27161232425964704</v>
      </c>
      <c r="DC101">
        <f>(Sales[[#This Row],[Adjusted Land Total]]-Sales[[#This Row],[24Lnd]])/Sales[[#This Row],[24Lnd]]</f>
        <v>-0.41836734693877553</v>
      </c>
      <c r="DD101">
        <f>(Sales[[#This Row],[Adjusted Total]]-Sales[[#This Row],[24Final]])/Sales[[#This Row],[24Final]]</f>
        <v>0.12757396449704142</v>
      </c>
      <c r="DE101">
        <f>(Sales[[#This Row],[Adjusted Total]]+Sales[[#This Row],[Days Prior Total]])/Sales[[#This Row],[Price]]</f>
        <v>0.96958504595711692</v>
      </c>
    </row>
    <row r="102" spans="1:109" x14ac:dyDescent="0.3">
      <c r="A102">
        <v>2025</v>
      </c>
      <c r="B102">
        <v>18131532513</v>
      </c>
      <c r="C102">
        <v>-1.3862943611198906</v>
      </c>
      <c r="D102">
        <v>0.25</v>
      </c>
      <c r="E102">
        <v>10711</v>
      </c>
      <c r="F102">
        <v>5</v>
      </c>
      <c r="G102" t="s">
        <v>89</v>
      </c>
      <c r="H102">
        <v>3041</v>
      </c>
      <c r="I102" t="s">
        <v>302</v>
      </c>
      <c r="J102" t="s">
        <v>26</v>
      </c>
      <c r="K102">
        <v>11</v>
      </c>
      <c r="L102">
        <v>259</v>
      </c>
      <c r="M102" t="s">
        <v>204</v>
      </c>
      <c r="N102" t="s">
        <v>111</v>
      </c>
      <c r="O102" t="s">
        <v>207</v>
      </c>
      <c r="P102">
        <v>1979</v>
      </c>
      <c r="Q102">
        <v>1980</v>
      </c>
      <c r="R102">
        <v>50</v>
      </c>
      <c r="S102">
        <v>45</v>
      </c>
      <c r="T102">
        <v>44</v>
      </c>
      <c r="U102">
        <v>1</v>
      </c>
      <c r="V102">
        <v>1454</v>
      </c>
      <c r="W102">
        <v>0</v>
      </c>
      <c r="X102">
        <v>0</v>
      </c>
      <c r="Y102">
        <v>1340</v>
      </c>
      <c r="Z102">
        <v>1340</v>
      </c>
      <c r="AA102">
        <v>0</v>
      </c>
      <c r="AB102">
        <v>2794</v>
      </c>
      <c r="AC102">
        <v>3000</v>
      </c>
      <c r="AD102">
        <v>2</v>
      </c>
      <c r="AF102" t="s">
        <v>275</v>
      </c>
      <c r="AG102" t="s">
        <v>111</v>
      </c>
      <c r="AH102" t="s">
        <v>314</v>
      </c>
      <c r="AI102">
        <v>0</v>
      </c>
      <c r="AJ102">
        <v>0</v>
      </c>
      <c r="AK102">
        <v>2</v>
      </c>
      <c r="AL102">
        <v>2</v>
      </c>
      <c r="AM102">
        <v>0</v>
      </c>
      <c r="AN102">
        <v>12</v>
      </c>
      <c r="AO102">
        <v>690</v>
      </c>
      <c r="AP102">
        <v>0</v>
      </c>
      <c r="AQ102">
        <v>690</v>
      </c>
      <c r="AR102">
        <v>0</v>
      </c>
      <c r="AS102">
        <v>666</v>
      </c>
      <c r="AT102">
        <v>430</v>
      </c>
      <c r="AU102">
        <v>66</v>
      </c>
      <c r="AV102">
        <v>100</v>
      </c>
      <c r="AW102">
        <v>100</v>
      </c>
      <c r="AX102">
        <v>487238</v>
      </c>
      <c r="AY102">
        <v>409280</v>
      </c>
      <c r="AZ102">
        <v>235</v>
      </c>
      <c r="BA102">
        <v>235</v>
      </c>
      <c r="BB102">
        <v>0</v>
      </c>
      <c r="BC102">
        <v>0</v>
      </c>
      <c r="BD102" s="6">
        <v>45057</v>
      </c>
      <c r="BE102" t="s">
        <v>37</v>
      </c>
      <c r="BF102">
        <v>500000</v>
      </c>
      <c r="BG102">
        <v>500000</v>
      </c>
      <c r="BH102" t="s">
        <v>198</v>
      </c>
      <c r="BI102">
        <v>30</v>
      </c>
      <c r="BJ102" t="s">
        <v>51</v>
      </c>
      <c r="BK102" t="s">
        <v>314</v>
      </c>
      <c r="BL102">
        <v>449300</v>
      </c>
      <c r="BM102">
        <v>81800</v>
      </c>
      <c r="BN102">
        <v>367500</v>
      </c>
      <c r="BO102">
        <v>0</v>
      </c>
      <c r="BP102">
        <v>0.89859999999999995</v>
      </c>
      <c r="BQ102">
        <v>523607.23833252315</v>
      </c>
      <c r="BR102">
        <v>560775.29957226396</v>
      </c>
      <c r="BS102" s="7">
        <f>(BR102-BL102)/BL102</f>
        <v>0.24810883501505443</v>
      </c>
      <c r="BT102" s="14">
        <f>(Sales[[#This Row],[DP1]]*Lookups!$B$51)+(Sales[[#This Row],[DP2]]*Lookups!$B$52)+(Sales[[#This Row],[DP3]]*Lookups!$B$53)</f>
        <v>-37168.07</v>
      </c>
      <c r="BU102" s="14">
        <f>Lookups!$B$48*0.5</f>
        <v>87214.824999999997</v>
      </c>
      <c r="BV102" s="14">
        <f>Lookups!$B$48*0.5</f>
        <v>87214.824999999997</v>
      </c>
      <c r="BW102" s="14">
        <f>Lookups!$B$49*Sales[[#This Row],[LnAcres]]</f>
        <v>-34695.961780777012</v>
      </c>
      <c r="BX102" s="14">
        <f>VLOOKUP(Sales[[#This Row],[Qlty]],Lookups!$A$54:$E$67,2,FALSE)</f>
        <v>-14329.694740000001</v>
      </c>
      <c r="BY102" s="14">
        <f>VLOOKUP(Sales[[#This Row],[Cnd]],Lookups!$A$68:$E$76,2,FALSE)</f>
        <v>47273.897095</v>
      </c>
      <c r="BZ102" s="14">
        <f>Sales[[#This Row],[Age]]*Lookups!$B$77</f>
        <v>8303.0593499999995</v>
      </c>
      <c r="CA102" s="14">
        <f>Sales[[#This Row],[MainFn]]*Lookups!$B$78</f>
        <v>100447.349386</v>
      </c>
      <c r="CB102" s="14">
        <f>Sales[[#This Row],[UpprFn]]*Lookups!$B$79</f>
        <v>0</v>
      </c>
      <c r="CC102" s="14">
        <f>Sales[[#This Row],[AddFn]]*Lookups!$B$80</f>
        <v>0</v>
      </c>
      <c r="CD102" s="14">
        <f>Sales[[#This Row],[Bsmt]]*Lookups!$B$81</f>
        <v>38335.601719999999</v>
      </c>
      <c r="CE102" s="14">
        <f>Sales[[#This Row],[Fixtures]]*Lookups!$B$84</f>
        <v>121861.20000000001</v>
      </c>
      <c r="CF102" s="14">
        <f>Sales[[#This Row],[MsnryFP]]*Lookups!$B$82</f>
        <v>0</v>
      </c>
      <c r="CG102" s="14">
        <f>Sales[[#This Row],[PrefabFP]]*Lookups!$B$83</f>
        <v>84182.043999999994</v>
      </c>
      <c r="CH102" s="14">
        <f>Sales[[#This Row],[GarageArea]]*Lookups!$B$85</f>
        <v>34968.162929999999</v>
      </c>
      <c r="CI102" s="14">
        <f>SUM(Sales[[#This Row],[Days Prior Total]:[Mdl GarageArea]])</f>
        <v>523607.23796022293</v>
      </c>
      <c r="CJ102" s="14">
        <f>ROUND(Sales[[#This Row],[25Det]],-2)</f>
        <v>0</v>
      </c>
      <c r="CK102" s="14">
        <f>ROUND(SUM(Sales[[#This Row],[Mdl Qlty]:[Mdl GarageArea]])+Sales[[#This Row],[Mdl Res Intercept]]+Sales[[#This Row],[Days Prior Total]],-2)</f>
        <v>471100</v>
      </c>
      <c r="CL102" s="14">
        <f>ROUND(Sales[[#This Row],[Mdl Land Intercept]]+Sales[[#This Row],[Mdl LnAcres]],-2)</f>
        <v>52500</v>
      </c>
      <c r="CM102" s="14">
        <f>Sales[[#This Row],[Unadj Res Value]]+Sales[[#This Row],[Unadj Det Value]]+Sales[[#This Row],[Unadj Land Value]]</f>
        <v>523600</v>
      </c>
      <c r="CN102" s="15">
        <f>Sales[[#This Row],[Unadj Total Value]]/Sales[[#This Row],[Price]]</f>
        <v>1.0471999999999999</v>
      </c>
      <c r="CO102" s="15">
        <f>(Sales[[#This Row],[Unadj Total Value]]-Sales[[#This Row],[24Final]])/Sales[[#This Row],[24Final]]</f>
        <v>0.16536835076786111</v>
      </c>
      <c r="CP102">
        <f>VLOOKUP(Sales[[#This Row],[TNbhd]],Lookups!$M$2:$P$4,4,FALSE)</f>
        <v>0.97570000000000001</v>
      </c>
      <c r="CQ102">
        <f>VLOOKUP(Sales[[#This Row],[Qlty]],Lookups!$M$6:$P$20,4,FALSE)</f>
        <v>0.98809999999999998</v>
      </c>
      <c r="CR102">
        <f>VLOOKUP(Sales[[#This Row],[Cnd]],Lookups!$R$6:$U$15,4,FALSE)</f>
        <v>0.97829999999999995</v>
      </c>
      <c r="CS102">
        <f>VLOOKUP(Sales[[#This Row],[LivArea Range]],Lookups!$R$23:$U$39,4,FALSE)</f>
        <v>0.93310000000000004</v>
      </c>
      <c r="CT102">
        <f>VLOOKUP(Sales[[#This Row],[Decade]],Lookups!$M$23:$P$35,4,FALSE)</f>
        <v>1.0153000000000001</v>
      </c>
      <c r="CU102">
        <f>Sales[[#This Row],[Nbhd Adj]]*0.95</f>
        <v>0.92691499999999993</v>
      </c>
      <c r="CV102">
        <f>Sales[[#This Row],[Nbhd Adj]]*Sales[[#This Row],[Quality Adj]]*Sales[[#This Row],[Condition Adj]]*Sales[[#This Row],[Living Area Adj]]*Sales[[#This Row],[Decade Adj]]*0.95</f>
        <v>0.84885876760693768</v>
      </c>
      <c r="CW102">
        <f>ROUND(SUM(Sales[[#This Row],[Mdl Qlty]:[Mdl GarageArea]])+Sales[[#This Row],[Mdl Res Intercept]]*Sales[[#This Row],[Res Adj ]],-2)</f>
        <v>495100</v>
      </c>
      <c r="CX102">
        <f>ROUND(Sales[[#This Row],[25Det]]*Sales[[#This Row],[Det/Nbhd Adj]],-2)</f>
        <v>0</v>
      </c>
      <c r="CY102">
        <f>Sales[[#This Row],[Adjusted Res]]+Sales[[#This Row],[Adj Det ]]</f>
        <v>495100</v>
      </c>
      <c r="CZ102">
        <f>ROUND((Sales[[#This Row],[Mdl Land Intercept]]+Sales[[#This Row],[Mdl LnAcres]])*Sales[[#This Row],[Det/Nbhd Adj]],-2)</f>
        <v>48700</v>
      </c>
      <c r="DA102">
        <f>Sales[[#This Row],[Adjusted Impr Total]]+Sales[[#This Row],[Adjusted Land Total]]</f>
        <v>543800</v>
      </c>
      <c r="DB102">
        <f>IFERROR((Sales[[#This Row],[Adjusted Impr Total]]-Sales[[#This Row],[24Bldg]])/Sales[[#This Row],[24Bldg]],0)</f>
        <v>0.34721088435374148</v>
      </c>
      <c r="DC102">
        <f>(Sales[[#This Row],[Adjusted Land Total]]-Sales[[#This Row],[24Lnd]])/Sales[[#This Row],[24Lnd]]</f>
        <v>-0.40464547677261614</v>
      </c>
      <c r="DD102">
        <f>(Sales[[#This Row],[Adjusted Total]]-Sales[[#This Row],[24Final]])/Sales[[#This Row],[24Final]]</f>
        <v>0.210327175606499</v>
      </c>
      <c r="DE102">
        <f>(Sales[[#This Row],[Adjusted Total]]+Sales[[#This Row],[Days Prior Total]])/Sales[[#This Row],[Price]]</f>
        <v>1.0132638599999999</v>
      </c>
    </row>
    <row r="103" spans="1:109" x14ac:dyDescent="0.3">
      <c r="A103">
        <v>2025</v>
      </c>
      <c r="B103">
        <v>18131523425</v>
      </c>
      <c r="C103">
        <v>-1.4696759700589417</v>
      </c>
      <c r="D103">
        <v>0.23</v>
      </c>
      <c r="E103">
        <v>9962</v>
      </c>
      <c r="F103">
        <v>5</v>
      </c>
      <c r="G103" t="s">
        <v>89</v>
      </c>
      <c r="H103">
        <v>3041</v>
      </c>
      <c r="I103" t="s">
        <v>302</v>
      </c>
      <c r="J103" t="s">
        <v>26</v>
      </c>
      <c r="K103">
        <v>11</v>
      </c>
      <c r="L103">
        <v>259</v>
      </c>
      <c r="M103" t="s">
        <v>4</v>
      </c>
      <c r="N103" t="s">
        <v>75</v>
      </c>
      <c r="O103" t="s">
        <v>207</v>
      </c>
      <c r="P103">
        <v>1979</v>
      </c>
      <c r="Q103">
        <v>1990</v>
      </c>
      <c r="R103">
        <v>50</v>
      </c>
      <c r="S103">
        <v>45</v>
      </c>
      <c r="T103">
        <v>34</v>
      </c>
      <c r="U103">
        <v>1</v>
      </c>
      <c r="V103">
        <v>1709</v>
      </c>
      <c r="W103">
        <v>0</v>
      </c>
      <c r="X103">
        <v>0</v>
      </c>
      <c r="Y103">
        <v>941</v>
      </c>
      <c r="Z103">
        <v>941</v>
      </c>
      <c r="AA103">
        <v>0</v>
      </c>
      <c r="AB103">
        <v>2650</v>
      </c>
      <c r="AC103">
        <v>3000</v>
      </c>
      <c r="AD103">
        <v>3</v>
      </c>
      <c r="AF103" t="s">
        <v>275</v>
      </c>
      <c r="AG103" t="s">
        <v>274</v>
      </c>
      <c r="AH103" t="s">
        <v>314</v>
      </c>
      <c r="AI103">
        <v>0</v>
      </c>
      <c r="AJ103">
        <v>2</v>
      </c>
      <c r="AK103">
        <v>0</v>
      </c>
      <c r="AL103">
        <v>0</v>
      </c>
      <c r="AM103">
        <v>0</v>
      </c>
      <c r="AN103">
        <v>13</v>
      </c>
      <c r="AO103">
        <v>0</v>
      </c>
      <c r="AP103">
        <v>960</v>
      </c>
      <c r="AQ103">
        <v>960</v>
      </c>
      <c r="AR103">
        <v>0</v>
      </c>
      <c r="AS103">
        <v>0</v>
      </c>
      <c r="AT103">
        <v>272</v>
      </c>
      <c r="AU103">
        <v>0</v>
      </c>
      <c r="AV103">
        <v>100</v>
      </c>
      <c r="AW103">
        <v>100</v>
      </c>
      <c r="AX103">
        <v>523534</v>
      </c>
      <c r="AY103">
        <v>471181</v>
      </c>
      <c r="AZ103">
        <v>860</v>
      </c>
      <c r="BA103">
        <v>365</v>
      </c>
      <c r="BB103">
        <v>365</v>
      </c>
      <c r="BC103">
        <v>130</v>
      </c>
      <c r="BD103" s="6">
        <v>44432</v>
      </c>
      <c r="BE103" t="s">
        <v>244</v>
      </c>
      <c r="BF103">
        <v>585000</v>
      </c>
      <c r="BG103">
        <v>585000</v>
      </c>
      <c r="BH103" t="s">
        <v>198</v>
      </c>
      <c r="BI103">
        <v>30</v>
      </c>
      <c r="BJ103" t="s">
        <v>51</v>
      </c>
      <c r="BK103" t="s">
        <v>314</v>
      </c>
      <c r="BL103">
        <v>538300</v>
      </c>
      <c r="BM103">
        <v>77000</v>
      </c>
      <c r="BN103">
        <v>461300</v>
      </c>
      <c r="BO103">
        <v>0</v>
      </c>
      <c r="BP103">
        <v>0.92017094017094014</v>
      </c>
      <c r="BQ103">
        <v>525494.96246014885</v>
      </c>
      <c r="BR103">
        <v>588612.50589478586</v>
      </c>
      <c r="BS103" s="7">
        <f>(BR103-BL103)/BL103</f>
        <v>9.346555061264325E-2</v>
      </c>
      <c r="BT103" s="14">
        <f>(Sales[[#This Row],[DP1]]*Lookups!$B$51)+(Sales[[#This Row],[DP2]]*Lookups!$B$52)+(Sales[[#This Row],[DP3]]*Lookups!$B$53)</f>
        <v>-63117.550710000003</v>
      </c>
      <c r="BU103" s="14">
        <f>Lookups!$B$48*0.5</f>
        <v>87214.824999999997</v>
      </c>
      <c r="BV103" s="14">
        <f>Lookups!$B$48*0.5</f>
        <v>87214.824999999997</v>
      </c>
      <c r="BW103" s="14">
        <f>Lookups!$B$49*Sales[[#This Row],[LnAcres]]</f>
        <v>-36782.823848535809</v>
      </c>
      <c r="BX103" s="14">
        <f>VLOOKUP(Sales[[#This Row],[Qlty]],Lookups!$A$54:$E$67,2,FALSE)</f>
        <v>19189.450408000001</v>
      </c>
      <c r="BY103" s="14">
        <f>VLOOKUP(Sales[[#This Row],[Cnd]],Lookups!$A$68:$E$76,2,FALSE)</f>
        <v>47273.897095</v>
      </c>
      <c r="BZ103" s="14">
        <f>Sales[[#This Row],[Age]]*Lookups!$B$77</f>
        <v>8303.0593499999995</v>
      </c>
      <c r="CA103" s="14">
        <f>Sales[[#This Row],[MainFn]]*Lookups!$B$78</f>
        <v>118063.631431</v>
      </c>
      <c r="CB103" s="14">
        <f>Sales[[#This Row],[UpprFn]]*Lookups!$B$79</f>
        <v>0</v>
      </c>
      <c r="CC103" s="14">
        <f>Sales[[#This Row],[AddFn]]*Lookups!$B$80</f>
        <v>0</v>
      </c>
      <c r="CD103" s="14">
        <f>Sales[[#This Row],[Bsmt]]*Lookups!$B$81</f>
        <v>26920.747177999998</v>
      </c>
      <c r="CE103" s="14">
        <f>Sales[[#This Row],[Fixtures]]*Lookups!$B$84</f>
        <v>132016.30000000002</v>
      </c>
      <c r="CF103" s="14">
        <f>Sales[[#This Row],[MsnryFP]]*Lookups!$B$82</f>
        <v>50547.245999999999</v>
      </c>
      <c r="CG103" s="14">
        <f>Sales[[#This Row],[PrefabFP]]*Lookups!$B$83</f>
        <v>0</v>
      </c>
      <c r="CH103" s="14">
        <f>Sales[[#This Row],[GarageArea]]*Lookups!$B$85</f>
        <v>48651.357120000001</v>
      </c>
      <c r="CI103" s="14">
        <f>SUM(Sales[[#This Row],[Days Prior Total]:[Mdl GarageArea]])</f>
        <v>525494.96402346413</v>
      </c>
      <c r="CJ103" s="14">
        <f>ROUND(Sales[[#This Row],[25Det]],-2)</f>
        <v>0</v>
      </c>
      <c r="CK103" s="14">
        <f>ROUND(SUM(Sales[[#This Row],[Mdl Qlty]:[Mdl GarageArea]])+Sales[[#This Row],[Mdl Res Intercept]]+Sales[[#This Row],[Days Prior Total]],-2)</f>
        <v>475100</v>
      </c>
      <c r="CL103" s="14">
        <f>ROUND(Sales[[#This Row],[Mdl Land Intercept]]+Sales[[#This Row],[Mdl LnAcres]],-2)</f>
        <v>50400</v>
      </c>
      <c r="CM103" s="14">
        <f>Sales[[#This Row],[Unadj Res Value]]+Sales[[#This Row],[Unadj Det Value]]+Sales[[#This Row],[Unadj Land Value]]</f>
        <v>525500</v>
      </c>
      <c r="CN103" s="15">
        <f>Sales[[#This Row],[Unadj Total Value]]/Sales[[#This Row],[Price]]</f>
        <v>0.89829059829059832</v>
      </c>
      <c r="CO103" s="15">
        <f>(Sales[[#This Row],[Unadj Total Value]]-Sales[[#This Row],[24Final]])/Sales[[#This Row],[24Final]]</f>
        <v>-2.3778562140070594E-2</v>
      </c>
      <c r="CP103">
        <f>VLOOKUP(Sales[[#This Row],[TNbhd]],Lookups!$M$2:$P$4,4,FALSE)</f>
        <v>0.97570000000000001</v>
      </c>
      <c r="CQ103">
        <f>VLOOKUP(Sales[[#This Row],[Qlty]],Lookups!$M$6:$P$20,4,FALSE)</f>
        <v>0.9819</v>
      </c>
      <c r="CR103">
        <f>VLOOKUP(Sales[[#This Row],[Cnd]],Lookups!$R$6:$U$15,4,FALSE)</f>
        <v>0.97829999999999995</v>
      </c>
      <c r="CS103">
        <f>VLOOKUP(Sales[[#This Row],[LivArea Range]],Lookups!$R$23:$U$39,4,FALSE)</f>
        <v>0.93310000000000004</v>
      </c>
      <c r="CT103">
        <f>VLOOKUP(Sales[[#This Row],[Decade]],Lookups!$M$23:$P$35,4,FALSE)</f>
        <v>1.0153000000000001</v>
      </c>
      <c r="CU103">
        <f>Sales[[#This Row],[Nbhd Adj]]*0.95</f>
        <v>0.92691499999999993</v>
      </c>
      <c r="CV103">
        <f>Sales[[#This Row],[Nbhd Adj]]*Sales[[#This Row],[Quality Adj]]*Sales[[#This Row],[Condition Adj]]*Sales[[#This Row],[Living Area Adj]]*Sales[[#This Row],[Decade Adj]]*0.95</f>
        <v>0.84353246018950745</v>
      </c>
      <c r="CW103">
        <f>ROUND(SUM(Sales[[#This Row],[Mdl Qlty]:[Mdl GarageArea]])+Sales[[#This Row],[Mdl Res Intercept]]*Sales[[#This Row],[Res Adj ]],-2)</f>
        <v>524500</v>
      </c>
      <c r="CX103">
        <f>ROUND(Sales[[#This Row],[25Det]]*Sales[[#This Row],[Det/Nbhd Adj]],-2)</f>
        <v>0</v>
      </c>
      <c r="CY103">
        <f>Sales[[#This Row],[Adjusted Res]]+Sales[[#This Row],[Adj Det ]]</f>
        <v>524500</v>
      </c>
      <c r="CZ103">
        <f>ROUND((Sales[[#This Row],[Mdl Land Intercept]]+Sales[[#This Row],[Mdl LnAcres]])*Sales[[#This Row],[Det/Nbhd Adj]],-2)</f>
        <v>46700</v>
      </c>
      <c r="DA103">
        <f>Sales[[#This Row],[Adjusted Impr Total]]+Sales[[#This Row],[Adjusted Land Total]]</f>
        <v>571200</v>
      </c>
      <c r="DB103">
        <f>IFERROR((Sales[[#This Row],[Adjusted Impr Total]]-Sales[[#This Row],[24Bldg]])/Sales[[#This Row],[24Bldg]],0)</f>
        <v>0.13700411879471061</v>
      </c>
      <c r="DC103">
        <f>(Sales[[#This Row],[Adjusted Land Total]]-Sales[[#This Row],[24Lnd]])/Sales[[#This Row],[24Lnd]]</f>
        <v>-0.39350649350649353</v>
      </c>
      <c r="DD103">
        <f>(Sales[[#This Row],[Adjusted Total]]-Sales[[#This Row],[24Final]])/Sales[[#This Row],[24Final]]</f>
        <v>6.1118335500650198E-2</v>
      </c>
      <c r="DE103">
        <f>(Sales[[#This Row],[Adjusted Total]]+Sales[[#This Row],[Days Prior Total]])/Sales[[#This Row],[Price]]</f>
        <v>0.86851700733333337</v>
      </c>
    </row>
    <row r="104" spans="1:109" x14ac:dyDescent="0.3">
      <c r="A104">
        <v>2025</v>
      </c>
      <c r="B104">
        <v>18131742411</v>
      </c>
      <c r="C104">
        <v>0.69813472207098426</v>
      </c>
      <c r="D104">
        <v>2.0099999999999998</v>
      </c>
      <c r="E104">
        <v>87372</v>
      </c>
      <c r="F104">
        <v>1</v>
      </c>
      <c r="G104" t="s">
        <v>89</v>
      </c>
      <c r="H104" t="s">
        <v>203</v>
      </c>
      <c r="I104" t="s">
        <v>302</v>
      </c>
      <c r="J104" t="s">
        <v>110</v>
      </c>
      <c r="K104">
        <v>11</v>
      </c>
      <c r="L104">
        <v>331</v>
      </c>
      <c r="M104" t="s">
        <v>313</v>
      </c>
      <c r="N104" t="s">
        <v>189</v>
      </c>
      <c r="O104" t="s">
        <v>207</v>
      </c>
      <c r="P104">
        <v>1978</v>
      </c>
      <c r="Q104">
        <v>1980</v>
      </c>
      <c r="R104">
        <v>50</v>
      </c>
      <c r="S104">
        <v>46</v>
      </c>
      <c r="T104">
        <v>44</v>
      </c>
      <c r="U104">
        <v>1</v>
      </c>
      <c r="V104">
        <v>3620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3620</v>
      </c>
      <c r="AC104">
        <v>4000</v>
      </c>
      <c r="AD104">
        <v>3</v>
      </c>
      <c r="AE104" t="s">
        <v>132</v>
      </c>
      <c r="AF104" t="s">
        <v>153</v>
      </c>
      <c r="AG104" t="s">
        <v>274</v>
      </c>
      <c r="AI104">
        <v>0</v>
      </c>
      <c r="AJ104">
        <v>2</v>
      </c>
      <c r="AK104">
        <v>0</v>
      </c>
      <c r="AL104">
        <v>1</v>
      </c>
      <c r="AM104">
        <v>1</v>
      </c>
      <c r="AN104">
        <v>16</v>
      </c>
      <c r="AO104">
        <v>1680</v>
      </c>
      <c r="AP104">
        <v>0</v>
      </c>
      <c r="AQ104">
        <v>1680</v>
      </c>
      <c r="AR104">
        <v>0</v>
      </c>
      <c r="AS104">
        <v>593</v>
      </c>
      <c r="AT104">
        <v>242</v>
      </c>
      <c r="AU104">
        <v>116</v>
      </c>
      <c r="AV104">
        <v>100</v>
      </c>
      <c r="AW104">
        <v>100</v>
      </c>
      <c r="AX104">
        <v>1040168</v>
      </c>
      <c r="AY104">
        <v>894544</v>
      </c>
      <c r="AZ104">
        <v>790</v>
      </c>
      <c r="BA104">
        <v>365</v>
      </c>
      <c r="BB104">
        <v>365</v>
      </c>
      <c r="BC104">
        <v>60</v>
      </c>
      <c r="BD104" s="6">
        <v>44502</v>
      </c>
      <c r="BE104" t="s">
        <v>319</v>
      </c>
      <c r="BF104">
        <v>1655000</v>
      </c>
      <c r="BG104">
        <v>1596361</v>
      </c>
      <c r="BH104" t="s">
        <v>251</v>
      </c>
      <c r="BI104">
        <v>30</v>
      </c>
      <c r="BJ104" t="s">
        <v>51</v>
      </c>
      <c r="BK104" t="s">
        <v>314</v>
      </c>
      <c r="BL104">
        <v>1274200</v>
      </c>
      <c r="BM104">
        <v>200200</v>
      </c>
      <c r="BN104">
        <v>1074000</v>
      </c>
      <c r="BO104">
        <v>58639</v>
      </c>
      <c r="BP104">
        <v>0.76990936555891243</v>
      </c>
      <c r="BQ104">
        <v>896122.34184494521</v>
      </c>
      <c r="BR104">
        <v>937638.86190399574</v>
      </c>
      <c r="BS104" s="7">
        <f>(BR104-BL104)/BL104</f>
        <v>-0.26413525199811982</v>
      </c>
      <c r="BT104" s="14">
        <f>(Sales[[#This Row],[DP1]]*Lookups!$B$51)+(Sales[[#This Row],[DP2]]*Lookups!$B$52)+(Sales[[#This Row],[DP3]]*Lookups!$B$53)</f>
        <v>-41516.530710000006</v>
      </c>
      <c r="BU104" s="14">
        <f>Lookups!$B$48*0.5</f>
        <v>87214.824999999997</v>
      </c>
      <c r="BV104" s="14">
        <f>Lookups!$B$48*0.5</f>
        <v>87214.824999999997</v>
      </c>
      <c r="BW104" s="14">
        <f>Lookups!$B$49*Sales[[#This Row],[LnAcres]]</f>
        <v>17472.808311245397</v>
      </c>
      <c r="BX104" s="14">
        <f>VLOOKUP(Sales[[#This Row],[Qlty]],Lookups!$A$54:$E$67,2,FALSE)</f>
        <v>141724.10243</v>
      </c>
      <c r="BY104" s="14">
        <f>VLOOKUP(Sales[[#This Row],[Cnd]],Lookups!$A$68:$E$76,2,FALSE)</f>
        <v>47273.897095</v>
      </c>
      <c r="BZ104" s="14">
        <f>Sales[[#This Row],[Age]]*Lookups!$B$77</f>
        <v>8487.5717800000002</v>
      </c>
      <c r="CA104" s="14">
        <f>Sales[[#This Row],[MainFn]]*Lookups!$B$78</f>
        <v>250082.12158000001</v>
      </c>
      <c r="CB104" s="14">
        <f>Sales[[#This Row],[UpprFn]]*Lookups!$B$79</f>
        <v>0</v>
      </c>
      <c r="CC104" s="14">
        <f>Sales[[#This Row],[AddFn]]*Lookups!$B$80</f>
        <v>0</v>
      </c>
      <c r="CD104" s="14">
        <f>Sales[[#This Row],[Bsmt]]*Lookups!$B$81</f>
        <v>0</v>
      </c>
      <c r="CE104" s="14">
        <f>Sales[[#This Row],[Fixtures]]*Lookups!$B$84</f>
        <v>162481.60000000001</v>
      </c>
      <c r="CF104" s="14">
        <f>Sales[[#This Row],[MsnryFP]]*Lookups!$B$82</f>
        <v>50547.245999999999</v>
      </c>
      <c r="CG104" s="14">
        <f>Sales[[#This Row],[PrefabFP]]*Lookups!$B$83</f>
        <v>0</v>
      </c>
      <c r="CH104" s="14">
        <f>Sales[[#This Row],[GarageArea]]*Lookups!$B$85</f>
        <v>85139.874960000001</v>
      </c>
      <c r="CI104" s="14">
        <f>SUM(Sales[[#This Row],[Days Prior Total]:[Mdl GarageArea]])</f>
        <v>896122.34144624555</v>
      </c>
      <c r="CJ104" s="14">
        <f>ROUND(Sales[[#This Row],[25Det]],-2)</f>
        <v>58600</v>
      </c>
      <c r="CK104" s="14">
        <f>ROUND(SUM(Sales[[#This Row],[Mdl Qlty]:[Mdl GarageArea]])+Sales[[#This Row],[Mdl Res Intercept]]+Sales[[#This Row],[Days Prior Total]],-2)</f>
        <v>791400</v>
      </c>
      <c r="CL104" s="14">
        <f>ROUND(Sales[[#This Row],[Mdl Land Intercept]]+Sales[[#This Row],[Mdl LnAcres]],-2)</f>
        <v>104700</v>
      </c>
      <c r="CM104" s="14">
        <f>Sales[[#This Row],[Unadj Res Value]]+Sales[[#This Row],[Unadj Det Value]]+Sales[[#This Row],[Unadj Land Value]]</f>
        <v>954700</v>
      </c>
      <c r="CN104" s="15">
        <f>Sales[[#This Row],[Unadj Total Value]]/Sales[[#This Row],[Price]]</f>
        <v>0.57685800604229609</v>
      </c>
      <c r="CO104" s="15">
        <f>(Sales[[#This Row],[Unadj Total Value]]-Sales[[#This Row],[24Final]])/Sales[[#This Row],[24Final]]</f>
        <v>-0.25074556584523622</v>
      </c>
      <c r="CP104">
        <f>VLOOKUP(Sales[[#This Row],[TNbhd]],Lookups!$M$2:$P$4,4,FALSE)</f>
        <v>0.97570000000000001</v>
      </c>
      <c r="CQ104">
        <f>VLOOKUP(Sales[[#This Row],[Qlty]],Lookups!$M$6:$P$20,4,FALSE)</f>
        <v>1.0051000000000001</v>
      </c>
      <c r="CR104">
        <f>VLOOKUP(Sales[[#This Row],[Cnd]],Lookups!$R$6:$U$15,4,FALSE)</f>
        <v>0.97829999999999995</v>
      </c>
      <c r="CS104">
        <f>VLOOKUP(Sales[[#This Row],[LivArea Range]],Lookups!$R$23:$U$39,4,FALSE)</f>
        <v>1.034</v>
      </c>
      <c r="CT104">
        <f>VLOOKUP(Sales[[#This Row],[Decade]],Lookups!$M$23:$P$35,4,FALSE)</f>
        <v>1.0153000000000001</v>
      </c>
      <c r="CU104">
        <f>Sales[[#This Row],[Nbhd Adj]]*0.95</f>
        <v>0.92691499999999993</v>
      </c>
      <c r="CV104">
        <f>Sales[[#This Row],[Nbhd Adj]]*Sales[[#This Row],[Quality Adj]]*Sales[[#This Row],[Condition Adj]]*Sales[[#This Row],[Living Area Adj]]*Sales[[#This Row],[Decade Adj]]*0.95</f>
        <v>0.95683303645464646</v>
      </c>
      <c r="CW104">
        <f>ROUND(SUM(Sales[[#This Row],[Mdl Qlty]:[Mdl GarageArea]])+Sales[[#This Row],[Mdl Res Intercept]]*Sales[[#This Row],[Res Adj ]],-2)</f>
        <v>829200</v>
      </c>
      <c r="CX104">
        <f>ROUND(Sales[[#This Row],[25Det]]*Sales[[#This Row],[Det/Nbhd Adj]],-2)</f>
        <v>54400</v>
      </c>
      <c r="CY104">
        <f>Sales[[#This Row],[Adjusted Res]]+Sales[[#This Row],[Adj Det ]]</f>
        <v>883600</v>
      </c>
      <c r="CZ104">
        <f>ROUND((Sales[[#This Row],[Mdl Land Intercept]]+Sales[[#This Row],[Mdl LnAcres]])*Sales[[#This Row],[Det/Nbhd Adj]],-2)</f>
        <v>97000</v>
      </c>
      <c r="DA104">
        <f>Sales[[#This Row],[Adjusted Impr Total]]+Sales[[#This Row],[Adjusted Land Total]]</f>
        <v>980600</v>
      </c>
      <c r="DB104">
        <f>IFERROR((Sales[[#This Row],[Adjusted Impr Total]]-Sales[[#This Row],[24Bldg]])/Sales[[#This Row],[24Bldg]],0)</f>
        <v>-0.17728119180633148</v>
      </c>
      <c r="DC104">
        <f>(Sales[[#This Row],[Adjusted Land Total]]-Sales[[#This Row],[24Lnd]])/Sales[[#This Row],[24Lnd]]</f>
        <v>-0.51548451548451546</v>
      </c>
      <c r="DD104">
        <f>(Sales[[#This Row],[Adjusted Total]]-Sales[[#This Row],[24Final]])/Sales[[#This Row],[24Final]]</f>
        <v>-0.23041908648563805</v>
      </c>
      <c r="DE104">
        <f>(Sales[[#This Row],[Adjusted Total]]+Sales[[#This Row],[Days Prior Total]])/Sales[[#This Row],[Price]]</f>
        <v>0.56742203582477346</v>
      </c>
    </row>
    <row r="105" spans="1:109" x14ac:dyDescent="0.3">
      <c r="A105">
        <v>2025</v>
      </c>
      <c r="B105">
        <v>18131634435</v>
      </c>
      <c r="C105">
        <v>-1.6094379124341003</v>
      </c>
      <c r="D105">
        <v>0.2</v>
      </c>
      <c r="E105">
        <v>8850</v>
      </c>
      <c r="F105">
        <v>5</v>
      </c>
      <c r="G105" t="s">
        <v>89</v>
      </c>
      <c r="H105">
        <v>3041</v>
      </c>
      <c r="I105" t="s">
        <v>302</v>
      </c>
      <c r="J105" t="s">
        <v>26</v>
      </c>
      <c r="K105">
        <v>11</v>
      </c>
      <c r="L105">
        <v>259</v>
      </c>
      <c r="M105" t="s">
        <v>172</v>
      </c>
      <c r="N105" t="s">
        <v>111</v>
      </c>
      <c r="O105" t="s">
        <v>207</v>
      </c>
      <c r="P105">
        <v>1977</v>
      </c>
      <c r="Q105">
        <v>1979</v>
      </c>
      <c r="R105">
        <v>50</v>
      </c>
      <c r="S105">
        <v>47</v>
      </c>
      <c r="T105">
        <v>45</v>
      </c>
      <c r="U105">
        <v>1</v>
      </c>
      <c r="V105">
        <v>1898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1898</v>
      </c>
      <c r="AC105">
        <v>2000</v>
      </c>
      <c r="AD105">
        <v>2</v>
      </c>
      <c r="AE105" t="s">
        <v>5</v>
      </c>
      <c r="AF105" t="s">
        <v>275</v>
      </c>
      <c r="AG105" t="s">
        <v>111</v>
      </c>
      <c r="AH105" t="s">
        <v>314</v>
      </c>
      <c r="AI105">
        <v>0</v>
      </c>
      <c r="AJ105">
        <v>1</v>
      </c>
      <c r="AK105">
        <v>0</v>
      </c>
      <c r="AL105">
        <v>0</v>
      </c>
      <c r="AM105">
        <v>0</v>
      </c>
      <c r="AN105">
        <v>10</v>
      </c>
      <c r="AO105">
        <v>598</v>
      </c>
      <c r="AP105">
        <v>0</v>
      </c>
      <c r="AQ105">
        <v>598</v>
      </c>
      <c r="AR105">
        <v>0</v>
      </c>
      <c r="AS105">
        <v>186</v>
      </c>
      <c r="AT105">
        <v>165</v>
      </c>
      <c r="AU105">
        <v>165</v>
      </c>
      <c r="AV105">
        <v>100</v>
      </c>
      <c r="AW105">
        <v>100</v>
      </c>
      <c r="AX105">
        <v>407452</v>
      </c>
      <c r="AY105">
        <v>342260</v>
      </c>
      <c r="AZ105">
        <v>489</v>
      </c>
      <c r="BA105">
        <v>365</v>
      </c>
      <c r="BB105">
        <v>124</v>
      </c>
      <c r="BC105">
        <v>0</v>
      </c>
      <c r="BD105" s="6">
        <v>44803</v>
      </c>
      <c r="BE105" t="s">
        <v>318</v>
      </c>
      <c r="BF105">
        <v>406500</v>
      </c>
      <c r="BG105">
        <v>406500</v>
      </c>
      <c r="BH105" t="s">
        <v>198</v>
      </c>
      <c r="BI105">
        <v>30</v>
      </c>
      <c r="BJ105" t="s">
        <v>51</v>
      </c>
      <c r="BK105" t="s">
        <v>314</v>
      </c>
      <c r="BL105">
        <v>423800</v>
      </c>
      <c r="BM105">
        <v>69100</v>
      </c>
      <c r="BN105">
        <v>354700</v>
      </c>
      <c r="BO105">
        <v>0</v>
      </c>
      <c r="BP105">
        <v>1.0425584255842559</v>
      </c>
      <c r="BQ105">
        <v>418084.74113452755</v>
      </c>
      <c r="BR105">
        <v>464015.93384524778</v>
      </c>
      <c r="BS105" s="7">
        <f>(BR105-BL105)/BL105</f>
        <v>9.4893661739612514E-2</v>
      </c>
      <c r="BT105" s="14">
        <f>(Sales[[#This Row],[DP1]]*Lookups!$B$51)+(Sales[[#This Row],[DP2]]*Lookups!$B$52)+(Sales[[#This Row],[DP3]]*Lookups!$B$53)</f>
        <v>-45931.206296000004</v>
      </c>
      <c r="BU105" s="14">
        <f>Lookups!$B$48*0.5</f>
        <v>87214.824999999997</v>
      </c>
      <c r="BV105" s="14">
        <f>Lookups!$B$48*0.5</f>
        <v>87214.824999999997</v>
      </c>
      <c r="BW105" s="14">
        <f>Lookups!$B$49*Sales[[#This Row],[LnAcres]]</f>
        <v>-40280.764218962147</v>
      </c>
      <c r="BX105" s="14">
        <f>VLOOKUP(Sales[[#This Row],[Qlty]],Lookups!$A$54:$E$67,2,FALSE)</f>
        <v>-14329.694740000001</v>
      </c>
      <c r="BY105" s="14">
        <f>VLOOKUP(Sales[[#This Row],[Cnd]],Lookups!$A$68:$E$76,2,FALSE)</f>
        <v>47273.897095</v>
      </c>
      <c r="BZ105" s="14">
        <f>Sales[[#This Row],[Age]]*Lookups!$B$77</f>
        <v>8672.0842099999991</v>
      </c>
      <c r="CA105" s="14">
        <f>Sales[[#This Row],[MainFn]]*Lookups!$B$78</f>
        <v>131120.40518200002</v>
      </c>
      <c r="CB105" s="14">
        <f>Sales[[#This Row],[UpprFn]]*Lookups!$B$79</f>
        <v>0</v>
      </c>
      <c r="CC105" s="14">
        <f>Sales[[#This Row],[AddFn]]*Lookups!$B$80</f>
        <v>0</v>
      </c>
      <c r="CD105" s="14">
        <f>Sales[[#This Row],[Bsmt]]*Lookups!$B$81</f>
        <v>0</v>
      </c>
      <c r="CE105" s="14">
        <f>Sales[[#This Row],[Fixtures]]*Lookups!$B$84</f>
        <v>101551</v>
      </c>
      <c r="CF105" s="14">
        <f>Sales[[#This Row],[MsnryFP]]*Lookups!$B$82</f>
        <v>25273.623</v>
      </c>
      <c r="CG105" s="14">
        <f>Sales[[#This Row],[PrefabFP]]*Lookups!$B$83</f>
        <v>0</v>
      </c>
      <c r="CH105" s="14">
        <f>Sales[[#This Row],[GarageArea]]*Lookups!$B$85</f>
        <v>30305.741205999999</v>
      </c>
      <c r="CI105" s="14">
        <f>SUM(Sales[[#This Row],[Days Prior Total]:[Mdl GarageArea]])</f>
        <v>418084.73543803784</v>
      </c>
      <c r="CJ105" s="14">
        <f>ROUND(Sales[[#This Row],[25Det]],-2)</f>
        <v>0</v>
      </c>
      <c r="CK105" s="14">
        <f>ROUND(SUM(Sales[[#This Row],[Mdl Qlty]:[Mdl GarageArea]])+Sales[[#This Row],[Mdl Res Intercept]]+Sales[[#This Row],[Days Prior Total]],-2)</f>
        <v>371200</v>
      </c>
      <c r="CL105" s="14">
        <f>ROUND(Sales[[#This Row],[Mdl Land Intercept]]+Sales[[#This Row],[Mdl LnAcres]],-2)</f>
        <v>46900</v>
      </c>
      <c r="CM105" s="14">
        <f>Sales[[#This Row],[Unadj Res Value]]+Sales[[#This Row],[Unadj Det Value]]+Sales[[#This Row],[Unadj Land Value]]</f>
        <v>418100</v>
      </c>
      <c r="CN105" s="15">
        <f>Sales[[#This Row],[Unadj Total Value]]/Sales[[#This Row],[Price]]</f>
        <v>1.0285362853628537</v>
      </c>
      <c r="CO105" s="15">
        <f>(Sales[[#This Row],[Unadj Total Value]]-Sales[[#This Row],[24Final]])/Sales[[#This Row],[24Final]]</f>
        <v>-1.3449740443605473E-2</v>
      </c>
      <c r="CP105">
        <f>VLOOKUP(Sales[[#This Row],[TNbhd]],Lookups!$M$2:$P$4,4,FALSE)</f>
        <v>0.97570000000000001</v>
      </c>
      <c r="CQ105">
        <f>VLOOKUP(Sales[[#This Row],[Qlty]],Lookups!$M$6:$P$20,4,FALSE)</f>
        <v>0.98809999999999998</v>
      </c>
      <c r="CR105">
        <f>VLOOKUP(Sales[[#This Row],[Cnd]],Lookups!$R$6:$U$15,4,FALSE)</f>
        <v>0.97829999999999995</v>
      </c>
      <c r="CS105">
        <f>VLOOKUP(Sales[[#This Row],[LivArea Range]],Lookups!$R$23:$U$39,4,FALSE)</f>
        <v>0.99099999999999999</v>
      </c>
      <c r="CT105">
        <f>VLOOKUP(Sales[[#This Row],[Decade]],Lookups!$M$23:$P$35,4,FALSE)</f>
        <v>1.0153000000000001</v>
      </c>
      <c r="CU105">
        <f>Sales[[#This Row],[Nbhd Adj]]*0.95</f>
        <v>0.92691499999999993</v>
      </c>
      <c r="CV105">
        <f>Sales[[#This Row],[Nbhd Adj]]*Sales[[#This Row],[Quality Adj]]*Sales[[#This Row],[Condition Adj]]*Sales[[#This Row],[Living Area Adj]]*Sales[[#This Row],[Decade Adj]]*0.95</f>
        <v>0.90153149576516478</v>
      </c>
      <c r="CW105">
        <f>ROUND(SUM(Sales[[#This Row],[Mdl Qlty]:[Mdl GarageArea]])+Sales[[#This Row],[Mdl Res Intercept]]*Sales[[#This Row],[Res Adj ]],-2)</f>
        <v>408500</v>
      </c>
      <c r="CX105">
        <f>ROUND(Sales[[#This Row],[25Det]]*Sales[[#This Row],[Det/Nbhd Adj]],-2)</f>
        <v>0</v>
      </c>
      <c r="CY105">
        <f>Sales[[#This Row],[Adjusted Res]]+Sales[[#This Row],[Adj Det ]]</f>
        <v>408500</v>
      </c>
      <c r="CZ105">
        <f>ROUND((Sales[[#This Row],[Mdl Land Intercept]]+Sales[[#This Row],[Mdl LnAcres]])*Sales[[#This Row],[Det/Nbhd Adj]],-2)</f>
        <v>43500</v>
      </c>
      <c r="DA105">
        <f>Sales[[#This Row],[Adjusted Impr Total]]+Sales[[#This Row],[Adjusted Land Total]]</f>
        <v>452000</v>
      </c>
      <c r="DB105">
        <f>IFERROR((Sales[[#This Row],[Adjusted Impr Total]]-Sales[[#This Row],[24Bldg]])/Sales[[#This Row],[24Bldg]],0)</f>
        <v>0.1516774739216239</v>
      </c>
      <c r="DC105">
        <f>(Sales[[#This Row],[Adjusted Land Total]]-Sales[[#This Row],[24Lnd]])/Sales[[#This Row],[24Lnd]]</f>
        <v>-0.37047756874095511</v>
      </c>
      <c r="DD105">
        <f>(Sales[[#This Row],[Adjusted Total]]-Sales[[#This Row],[24Final]])/Sales[[#This Row],[24Final]]</f>
        <v>6.6540821142048137E-2</v>
      </c>
      <c r="DE105">
        <f>(Sales[[#This Row],[Adjusted Total]]+Sales[[#This Row],[Days Prior Total]])/Sales[[#This Row],[Price]]</f>
        <v>0.99893922190405904</v>
      </c>
    </row>
    <row r="106" spans="1:109" x14ac:dyDescent="0.3">
      <c r="A106">
        <v>2025</v>
      </c>
      <c r="B106">
        <v>18131624421</v>
      </c>
      <c r="C106">
        <v>-0.15082288973458366</v>
      </c>
      <c r="D106">
        <v>0.86</v>
      </c>
      <c r="E106">
        <v>0</v>
      </c>
      <c r="F106">
        <v>5</v>
      </c>
      <c r="G106" t="s">
        <v>89</v>
      </c>
      <c r="H106">
        <v>3042</v>
      </c>
      <c r="I106" t="s">
        <v>302</v>
      </c>
      <c r="J106" t="s">
        <v>110</v>
      </c>
      <c r="K106">
        <v>11</v>
      </c>
      <c r="L106">
        <v>259</v>
      </c>
      <c r="M106" t="s">
        <v>172</v>
      </c>
      <c r="N106" t="s">
        <v>205</v>
      </c>
      <c r="O106" t="s">
        <v>231</v>
      </c>
      <c r="P106">
        <v>1976</v>
      </c>
      <c r="Q106">
        <v>1979</v>
      </c>
      <c r="R106">
        <v>50</v>
      </c>
      <c r="S106">
        <v>48</v>
      </c>
      <c r="T106">
        <v>45</v>
      </c>
      <c r="U106">
        <v>1</v>
      </c>
      <c r="V106">
        <v>1424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1424</v>
      </c>
      <c r="AC106">
        <v>1500</v>
      </c>
      <c r="AD106">
        <v>2</v>
      </c>
      <c r="AF106" t="s">
        <v>275</v>
      </c>
      <c r="AG106" t="s">
        <v>111</v>
      </c>
      <c r="AH106" t="s">
        <v>314</v>
      </c>
      <c r="AI106">
        <v>1</v>
      </c>
      <c r="AJ106">
        <v>0</v>
      </c>
      <c r="AK106">
        <v>1</v>
      </c>
      <c r="AL106">
        <v>1</v>
      </c>
      <c r="AM106">
        <v>0</v>
      </c>
      <c r="AN106">
        <v>9</v>
      </c>
      <c r="AO106">
        <v>440</v>
      </c>
      <c r="AP106">
        <v>0</v>
      </c>
      <c r="AQ106">
        <v>440</v>
      </c>
      <c r="AR106">
        <v>0</v>
      </c>
      <c r="AS106">
        <v>0</v>
      </c>
      <c r="AT106">
        <v>112</v>
      </c>
      <c r="AU106">
        <v>40</v>
      </c>
      <c r="AV106">
        <v>100</v>
      </c>
      <c r="AW106">
        <v>100</v>
      </c>
      <c r="AX106">
        <v>261866</v>
      </c>
      <c r="AY106">
        <v>204255</v>
      </c>
      <c r="AZ106">
        <v>980</v>
      </c>
      <c r="BA106">
        <v>365</v>
      </c>
      <c r="BB106">
        <v>365</v>
      </c>
      <c r="BC106">
        <v>250</v>
      </c>
      <c r="BD106" s="6">
        <v>44312</v>
      </c>
      <c r="BE106" t="s">
        <v>263</v>
      </c>
      <c r="BF106">
        <v>292500</v>
      </c>
      <c r="BG106">
        <v>283634</v>
      </c>
      <c r="BH106" t="s">
        <v>198</v>
      </c>
      <c r="BI106">
        <v>30</v>
      </c>
      <c r="BJ106" t="s">
        <v>51</v>
      </c>
      <c r="BK106" t="s">
        <v>314</v>
      </c>
      <c r="BL106">
        <v>410200</v>
      </c>
      <c r="BM106">
        <v>152000</v>
      </c>
      <c r="BN106">
        <v>258200</v>
      </c>
      <c r="BO106">
        <v>8866</v>
      </c>
      <c r="BP106">
        <v>1.4023931623931625</v>
      </c>
      <c r="BQ106">
        <v>303210.23777318618</v>
      </c>
      <c r="BR106">
        <v>403358.10699454317</v>
      </c>
      <c r="BS106" s="7">
        <f>(BR106-BL106)/BL106</f>
        <v>-1.6679407619348694E-2</v>
      </c>
      <c r="BT106" s="14">
        <f>(Sales[[#This Row],[DP1]]*Lookups!$B$51)+(Sales[[#This Row],[DP2]]*Lookups!$B$52)+(Sales[[#This Row],[DP3]]*Lookups!$B$53)</f>
        <v>-100147.87071</v>
      </c>
      <c r="BU106" s="14">
        <f>Lookups!$B$48*0.5</f>
        <v>87214.824999999997</v>
      </c>
      <c r="BV106" s="14">
        <f>Lookups!$B$48*0.5</f>
        <v>87214.824999999997</v>
      </c>
      <c r="BW106" s="14">
        <f>Lookups!$B$49*Sales[[#This Row],[LnAcres]]</f>
        <v>-3774.7720575521407</v>
      </c>
      <c r="BX106" s="14">
        <f>VLOOKUP(Sales[[#This Row],[Qlty]],Lookups!$A$54:$E$67,2,FALSE)</f>
        <v>30313.66692</v>
      </c>
      <c r="BY106" s="14">
        <f>VLOOKUP(Sales[[#This Row],[Cnd]],Lookups!$A$68:$E$76,2,FALSE)</f>
        <v>0</v>
      </c>
      <c r="BZ106" s="14">
        <f>Sales[[#This Row],[Age]]*Lookups!$B$77</f>
        <v>8856.5966399999998</v>
      </c>
      <c r="CA106" s="14">
        <f>Sales[[#This Row],[MainFn]]*Lookups!$B$78</f>
        <v>98374.845616000006</v>
      </c>
      <c r="CB106" s="14">
        <f>Sales[[#This Row],[UpprFn]]*Lookups!$B$79</f>
        <v>0</v>
      </c>
      <c r="CC106" s="14">
        <f>Sales[[#This Row],[AddFn]]*Lookups!$B$80</f>
        <v>0</v>
      </c>
      <c r="CD106" s="14">
        <f>Sales[[#This Row],[Bsmt]]*Lookups!$B$81</f>
        <v>0</v>
      </c>
      <c r="CE106" s="14">
        <f>Sales[[#This Row],[Fixtures]]*Lookups!$B$84</f>
        <v>91395.900000000009</v>
      </c>
      <c r="CF106" s="14">
        <f>Sales[[#This Row],[MsnryFP]]*Lookups!$B$82</f>
        <v>0</v>
      </c>
      <c r="CG106" s="14">
        <f>Sales[[#This Row],[PrefabFP]]*Lookups!$B$83</f>
        <v>42091.021999999997</v>
      </c>
      <c r="CH106" s="14">
        <f>Sales[[#This Row],[GarageArea]]*Lookups!$B$85</f>
        <v>22298.538680000001</v>
      </c>
      <c r="CI106" s="14">
        <f>SUM(Sales[[#This Row],[Days Prior Total]:[Mdl GarageArea]])</f>
        <v>363837.57708844787</v>
      </c>
      <c r="CJ106" s="14">
        <f>ROUND(Sales[[#This Row],[25Det]],-2)</f>
        <v>8900</v>
      </c>
      <c r="CK106" s="14">
        <f>ROUND(SUM(Sales[[#This Row],[Mdl Qlty]:[Mdl GarageArea]])+Sales[[#This Row],[Mdl Res Intercept]]+Sales[[#This Row],[Days Prior Total]],-2)</f>
        <v>280400</v>
      </c>
      <c r="CL106" s="14">
        <f>ROUND(Sales[[#This Row],[Mdl Land Intercept]]+Sales[[#This Row],[Mdl LnAcres]],-2)</f>
        <v>83400</v>
      </c>
      <c r="CM106" s="14">
        <f>Sales[[#This Row],[Unadj Res Value]]+Sales[[#This Row],[Unadj Det Value]]+Sales[[#This Row],[Unadj Land Value]]</f>
        <v>372700</v>
      </c>
      <c r="CN106" s="15">
        <f>Sales[[#This Row],[Unadj Total Value]]/Sales[[#This Row],[Price]]</f>
        <v>1.2741880341880343</v>
      </c>
      <c r="CO106" s="15">
        <f>(Sales[[#This Row],[Unadj Total Value]]-Sales[[#This Row],[24Final]])/Sales[[#This Row],[24Final]]</f>
        <v>-9.1418820087762073E-2</v>
      </c>
      <c r="CP106">
        <f>VLOOKUP(Sales[[#This Row],[TNbhd]],Lookups!$M$2:$P$4,4,FALSE)</f>
        <v>0.97570000000000001</v>
      </c>
      <c r="CQ106">
        <f>VLOOKUP(Sales[[#This Row],[Qlty]],Lookups!$M$6:$P$20,4,FALSE)</f>
        <v>0.85299999999999998</v>
      </c>
      <c r="CR106">
        <f>VLOOKUP(Sales[[#This Row],[Cnd]],Lookups!$R$6:$U$15,4,FALSE)</f>
        <v>0.9677</v>
      </c>
      <c r="CS106">
        <f>VLOOKUP(Sales[[#This Row],[LivArea Range]],Lookups!$R$23:$U$39,4,FALSE)</f>
        <v>1.0062</v>
      </c>
      <c r="CT106">
        <f>VLOOKUP(Sales[[#This Row],[Decade]],Lookups!$M$23:$P$35,4,FALSE)</f>
        <v>1.0153000000000001</v>
      </c>
      <c r="CU106">
        <f>Sales[[#This Row],[Nbhd Adj]]*0.95</f>
        <v>0.92691499999999993</v>
      </c>
      <c r="CV106">
        <f>Sales[[#This Row],[Nbhd Adj]]*Sales[[#This Row],[Quality Adj]]*Sales[[#This Row],[Condition Adj]]*Sales[[#This Row],[Living Area Adj]]*Sales[[#This Row],[Decade Adj]]*0.95</f>
        <v>0.78164288976674878</v>
      </c>
      <c r="CW106">
        <f>ROUND(SUM(Sales[[#This Row],[Mdl Qlty]:[Mdl GarageArea]])+Sales[[#This Row],[Mdl Res Intercept]]*Sales[[#This Row],[Res Adj ]],-2)</f>
        <v>361500</v>
      </c>
      <c r="CX106">
        <f>ROUND(Sales[[#This Row],[25Det]]*Sales[[#This Row],[Det/Nbhd Adj]],-2)</f>
        <v>8200</v>
      </c>
      <c r="CY106">
        <f>Sales[[#This Row],[Adjusted Res]]+Sales[[#This Row],[Adj Det ]]</f>
        <v>369700</v>
      </c>
      <c r="CZ106">
        <f>ROUND((Sales[[#This Row],[Mdl Land Intercept]]+Sales[[#This Row],[Mdl LnAcres]])*Sales[[#This Row],[Det/Nbhd Adj]],-2)</f>
        <v>77300</v>
      </c>
      <c r="DA106">
        <f>Sales[[#This Row],[Adjusted Impr Total]]+Sales[[#This Row],[Adjusted Land Total]]</f>
        <v>447000</v>
      </c>
      <c r="DB106">
        <f>IFERROR((Sales[[#This Row],[Adjusted Impr Total]]-Sales[[#This Row],[24Bldg]])/Sales[[#This Row],[24Bldg]],0)</f>
        <v>0.43183578621223856</v>
      </c>
      <c r="DC106">
        <f>(Sales[[#This Row],[Adjusted Land Total]]-Sales[[#This Row],[24Lnd]])/Sales[[#This Row],[24Lnd]]</f>
        <v>-0.49144736842105263</v>
      </c>
      <c r="DD106">
        <f>(Sales[[#This Row],[Adjusted Total]]-Sales[[#This Row],[24Final]])/Sales[[#This Row],[24Final]]</f>
        <v>8.9712335446123836E-2</v>
      </c>
      <c r="DE106">
        <f>(Sales[[#This Row],[Adjusted Total]]+Sales[[#This Row],[Days Prior Total]])/Sales[[#This Row],[Price]]</f>
        <v>1.1858192454358976</v>
      </c>
    </row>
    <row r="107" spans="1:109" x14ac:dyDescent="0.3">
      <c r="A107">
        <v>2025</v>
      </c>
      <c r="B107">
        <v>18131532514</v>
      </c>
      <c r="C107">
        <v>-0.916290731874155</v>
      </c>
      <c r="D107">
        <v>0.4</v>
      </c>
      <c r="E107">
        <v>17359</v>
      </c>
      <c r="F107">
        <v>5</v>
      </c>
      <c r="G107" t="s">
        <v>89</v>
      </c>
      <c r="H107">
        <v>3041</v>
      </c>
      <c r="I107" t="s">
        <v>302</v>
      </c>
      <c r="J107" t="s">
        <v>26</v>
      </c>
      <c r="K107">
        <v>11</v>
      </c>
      <c r="L107">
        <v>259</v>
      </c>
      <c r="M107" t="s">
        <v>172</v>
      </c>
      <c r="N107" t="s">
        <v>111</v>
      </c>
      <c r="O107" t="s">
        <v>231</v>
      </c>
      <c r="P107">
        <v>1976</v>
      </c>
      <c r="Q107">
        <v>1979</v>
      </c>
      <c r="R107">
        <v>50</v>
      </c>
      <c r="S107">
        <v>48</v>
      </c>
      <c r="T107">
        <v>45</v>
      </c>
      <c r="U107">
        <v>1</v>
      </c>
      <c r="V107">
        <v>1636</v>
      </c>
      <c r="W107">
        <v>0</v>
      </c>
      <c r="X107">
        <v>0</v>
      </c>
      <c r="Y107">
        <v>1248</v>
      </c>
      <c r="Z107">
        <v>1248</v>
      </c>
      <c r="AA107">
        <v>0</v>
      </c>
      <c r="AB107">
        <v>2884</v>
      </c>
      <c r="AC107">
        <v>3000</v>
      </c>
      <c r="AD107">
        <v>2</v>
      </c>
      <c r="AF107" t="s">
        <v>275</v>
      </c>
      <c r="AG107" t="s">
        <v>274</v>
      </c>
      <c r="AH107" t="s">
        <v>314</v>
      </c>
      <c r="AI107">
        <v>0</v>
      </c>
      <c r="AJ107">
        <v>0</v>
      </c>
      <c r="AK107">
        <v>1</v>
      </c>
      <c r="AL107">
        <v>2</v>
      </c>
      <c r="AM107">
        <v>0</v>
      </c>
      <c r="AN107">
        <v>13</v>
      </c>
      <c r="AO107">
        <v>624</v>
      </c>
      <c r="AP107">
        <v>0</v>
      </c>
      <c r="AQ107">
        <v>624</v>
      </c>
      <c r="AR107">
        <v>0</v>
      </c>
      <c r="AS107">
        <v>416</v>
      </c>
      <c r="AT107">
        <v>416</v>
      </c>
      <c r="AU107">
        <v>224</v>
      </c>
      <c r="AV107">
        <v>100</v>
      </c>
      <c r="AW107">
        <v>100</v>
      </c>
      <c r="AX107">
        <v>496031</v>
      </c>
      <c r="AY107">
        <v>386904</v>
      </c>
      <c r="AZ107">
        <v>259</v>
      </c>
      <c r="BA107">
        <v>259</v>
      </c>
      <c r="BB107">
        <v>0</v>
      </c>
      <c r="BC107">
        <v>0</v>
      </c>
      <c r="BD107" s="6">
        <v>45033</v>
      </c>
      <c r="BE107" t="s">
        <v>9</v>
      </c>
      <c r="BF107">
        <v>497000</v>
      </c>
      <c r="BG107">
        <v>497000</v>
      </c>
      <c r="BH107" t="s">
        <v>198</v>
      </c>
      <c r="BI107">
        <v>30</v>
      </c>
      <c r="BJ107" t="s">
        <v>51</v>
      </c>
      <c r="BK107" t="s">
        <v>314</v>
      </c>
      <c r="BL107">
        <v>436900</v>
      </c>
      <c r="BM107">
        <v>108500</v>
      </c>
      <c r="BN107">
        <v>328400</v>
      </c>
      <c r="BO107">
        <v>0</v>
      </c>
      <c r="BP107">
        <v>0.8790744466800805</v>
      </c>
      <c r="BQ107">
        <v>459514.65974315914</v>
      </c>
      <c r="BR107">
        <v>500478.6080882352</v>
      </c>
      <c r="BS107" s="7">
        <f>(BR107-BL107)/BL107</f>
        <v>0.14552210594697917</v>
      </c>
      <c r="BT107" s="14">
        <f>(Sales[[#This Row],[DP1]]*Lookups!$B$51)+(Sales[[#This Row],[DP2]]*Lookups!$B$52)+(Sales[[#This Row],[DP3]]*Lookups!$B$53)</f>
        <v>-40963.957999999999</v>
      </c>
      <c r="BU107" s="14">
        <f>Lookups!$B$48*0.5</f>
        <v>87214.824999999997</v>
      </c>
      <c r="BV107" s="14">
        <f>Lookups!$B$48*0.5</f>
        <v>87214.824999999997</v>
      </c>
      <c r="BW107" s="14">
        <f>Lookups!$B$49*Sales[[#This Row],[LnAcres]]</f>
        <v>-22932.783328573645</v>
      </c>
      <c r="BX107" s="14">
        <f>VLOOKUP(Sales[[#This Row],[Qlty]],Lookups!$A$54:$E$67,2,FALSE)</f>
        <v>-14329.694740000001</v>
      </c>
      <c r="BY107" s="14">
        <f>VLOOKUP(Sales[[#This Row],[Cnd]],Lookups!$A$68:$E$76,2,FALSE)</f>
        <v>0</v>
      </c>
      <c r="BZ107" s="14">
        <f>Sales[[#This Row],[Age]]*Lookups!$B$77</f>
        <v>8856.5966399999998</v>
      </c>
      <c r="CA107" s="14">
        <f>Sales[[#This Row],[MainFn]]*Lookups!$B$78</f>
        <v>113020.53892400001</v>
      </c>
      <c r="CB107" s="14">
        <f>Sales[[#This Row],[UpprFn]]*Lookups!$B$79</f>
        <v>0</v>
      </c>
      <c r="CC107" s="14">
        <f>Sales[[#This Row],[AddFn]]*Lookups!$B$80</f>
        <v>0</v>
      </c>
      <c r="CD107" s="14">
        <f>Sales[[#This Row],[Bsmt]]*Lookups!$B$81</f>
        <v>35703.605184</v>
      </c>
      <c r="CE107" s="14">
        <f>Sales[[#This Row],[Fixtures]]*Lookups!$B$84</f>
        <v>132016.30000000002</v>
      </c>
      <c r="CF107" s="14">
        <f>Sales[[#This Row],[MsnryFP]]*Lookups!$B$82</f>
        <v>0</v>
      </c>
      <c r="CG107" s="14">
        <f>Sales[[#This Row],[PrefabFP]]*Lookups!$B$83</f>
        <v>42091.021999999997</v>
      </c>
      <c r="CH107" s="14">
        <f>Sales[[#This Row],[GarageArea]]*Lookups!$B$85</f>
        <v>31623.382128000001</v>
      </c>
      <c r="CI107" s="14">
        <f>SUM(Sales[[#This Row],[Days Prior Total]:[Mdl GarageArea]])</f>
        <v>459514.65880742634</v>
      </c>
      <c r="CJ107" s="14">
        <f>ROUND(Sales[[#This Row],[25Det]],-2)</f>
        <v>0</v>
      </c>
      <c r="CK107" s="14">
        <f>ROUND(SUM(Sales[[#This Row],[Mdl Qlty]:[Mdl GarageArea]])+Sales[[#This Row],[Mdl Res Intercept]]+Sales[[#This Row],[Days Prior Total]],-2)</f>
        <v>395200</v>
      </c>
      <c r="CL107" s="14">
        <f>ROUND(Sales[[#This Row],[Mdl Land Intercept]]+Sales[[#This Row],[Mdl LnAcres]],-2)</f>
        <v>64300</v>
      </c>
      <c r="CM107" s="14">
        <f>Sales[[#This Row],[Unadj Res Value]]+Sales[[#This Row],[Unadj Det Value]]+Sales[[#This Row],[Unadj Land Value]]</f>
        <v>459500</v>
      </c>
      <c r="CN107" s="15">
        <f>Sales[[#This Row],[Unadj Total Value]]/Sales[[#This Row],[Price]]</f>
        <v>0.92454728370221329</v>
      </c>
      <c r="CO107" s="15">
        <f>(Sales[[#This Row],[Unadj Total Value]]-Sales[[#This Row],[24Final]])/Sales[[#This Row],[24Final]]</f>
        <v>5.1728084229800866E-2</v>
      </c>
      <c r="CP107">
        <f>VLOOKUP(Sales[[#This Row],[TNbhd]],Lookups!$M$2:$P$4,4,FALSE)</f>
        <v>0.97570000000000001</v>
      </c>
      <c r="CQ107">
        <f>VLOOKUP(Sales[[#This Row],[Qlty]],Lookups!$M$6:$P$20,4,FALSE)</f>
        <v>0.98809999999999998</v>
      </c>
      <c r="CR107">
        <f>VLOOKUP(Sales[[#This Row],[Cnd]],Lookups!$R$6:$U$15,4,FALSE)</f>
        <v>0.9677</v>
      </c>
      <c r="CS107">
        <f>VLOOKUP(Sales[[#This Row],[LivArea Range]],Lookups!$R$23:$U$39,4,FALSE)</f>
        <v>0.93310000000000004</v>
      </c>
      <c r="CT107">
        <f>VLOOKUP(Sales[[#This Row],[Decade]],Lookups!$M$23:$P$35,4,FALSE)</f>
        <v>1.0153000000000001</v>
      </c>
      <c r="CU107">
        <f>Sales[[#This Row],[Nbhd Adj]]*0.95</f>
        <v>0.92691499999999993</v>
      </c>
      <c r="CV107">
        <f>Sales[[#This Row],[Nbhd Adj]]*Sales[[#This Row],[Quality Adj]]*Sales[[#This Row],[Condition Adj]]*Sales[[#This Row],[Living Area Adj]]*Sales[[#This Row],[Decade Adj]]*0.95</f>
        <v>0.83966127917124989</v>
      </c>
      <c r="CW107">
        <f>ROUND(SUM(Sales[[#This Row],[Mdl Qlty]:[Mdl GarageArea]])+Sales[[#This Row],[Mdl Res Intercept]]*Sales[[#This Row],[Res Adj ]],-2)</f>
        <v>422200</v>
      </c>
      <c r="CX107">
        <f>ROUND(Sales[[#This Row],[25Det]]*Sales[[#This Row],[Det/Nbhd Adj]],-2)</f>
        <v>0</v>
      </c>
      <c r="CY107">
        <f>Sales[[#This Row],[Adjusted Res]]+Sales[[#This Row],[Adj Det ]]</f>
        <v>422200</v>
      </c>
      <c r="CZ107">
        <f>ROUND((Sales[[#This Row],[Mdl Land Intercept]]+Sales[[#This Row],[Mdl LnAcres]])*Sales[[#This Row],[Det/Nbhd Adj]],-2)</f>
        <v>59600</v>
      </c>
      <c r="DA107">
        <f>Sales[[#This Row],[Adjusted Impr Total]]+Sales[[#This Row],[Adjusted Land Total]]</f>
        <v>481800</v>
      </c>
      <c r="DB107">
        <f>IFERROR((Sales[[#This Row],[Adjusted Impr Total]]-Sales[[#This Row],[24Bldg]])/Sales[[#This Row],[24Bldg]],0)</f>
        <v>0.2856272838002436</v>
      </c>
      <c r="DC107">
        <f>(Sales[[#This Row],[Adjusted Land Total]]-Sales[[#This Row],[24Lnd]])/Sales[[#This Row],[24Lnd]]</f>
        <v>-0.45069124423963136</v>
      </c>
      <c r="DD107">
        <f>(Sales[[#This Row],[Adjusted Total]]-Sales[[#This Row],[24Final]])/Sales[[#This Row],[24Final]]</f>
        <v>0.1027695124742504</v>
      </c>
      <c r="DE107">
        <f>(Sales[[#This Row],[Adjusted Total]]+Sales[[#This Row],[Days Prior Total]])/Sales[[#This Row],[Price]]</f>
        <v>0.88699404828973849</v>
      </c>
    </row>
    <row r="108" spans="1:109" x14ac:dyDescent="0.3">
      <c r="A108">
        <v>2025</v>
      </c>
      <c r="B108">
        <v>18131524448</v>
      </c>
      <c r="C108">
        <v>-1.3862943611198906</v>
      </c>
      <c r="D108">
        <v>0.25</v>
      </c>
      <c r="E108">
        <v>10989</v>
      </c>
      <c r="F108">
        <v>5</v>
      </c>
      <c r="G108" t="s">
        <v>89</v>
      </c>
      <c r="H108" t="s">
        <v>302</v>
      </c>
      <c r="I108" t="s">
        <v>302</v>
      </c>
      <c r="J108" t="s">
        <v>26</v>
      </c>
      <c r="K108">
        <v>11</v>
      </c>
      <c r="L108">
        <v>259</v>
      </c>
      <c r="M108" t="s">
        <v>172</v>
      </c>
      <c r="N108" t="s">
        <v>111</v>
      </c>
      <c r="O108" t="s">
        <v>231</v>
      </c>
      <c r="P108">
        <v>1976</v>
      </c>
      <c r="Q108">
        <v>1979</v>
      </c>
      <c r="R108">
        <v>50</v>
      </c>
      <c r="S108">
        <v>48</v>
      </c>
      <c r="T108">
        <v>45</v>
      </c>
      <c r="U108">
        <v>1</v>
      </c>
      <c r="V108">
        <v>1567</v>
      </c>
      <c r="W108">
        <v>0</v>
      </c>
      <c r="X108">
        <v>0</v>
      </c>
      <c r="Y108">
        <v>2148</v>
      </c>
      <c r="Z108">
        <v>1504</v>
      </c>
      <c r="AA108">
        <v>644</v>
      </c>
      <c r="AB108">
        <v>3071</v>
      </c>
      <c r="AC108">
        <v>3500</v>
      </c>
      <c r="AD108">
        <v>2</v>
      </c>
      <c r="AE108" t="s">
        <v>5</v>
      </c>
      <c r="AF108" t="s">
        <v>275</v>
      </c>
      <c r="AG108" t="s">
        <v>111</v>
      </c>
      <c r="AH108" t="s">
        <v>314</v>
      </c>
      <c r="AI108">
        <v>1</v>
      </c>
      <c r="AJ108">
        <v>0</v>
      </c>
      <c r="AK108">
        <v>1</v>
      </c>
      <c r="AL108">
        <v>0</v>
      </c>
      <c r="AM108">
        <v>1</v>
      </c>
      <c r="AN108">
        <v>16</v>
      </c>
      <c r="AO108">
        <v>599</v>
      </c>
      <c r="AP108">
        <v>0</v>
      </c>
      <c r="AQ108">
        <v>599</v>
      </c>
      <c r="AR108">
        <v>0</v>
      </c>
      <c r="AS108">
        <v>443</v>
      </c>
      <c r="AT108">
        <v>260</v>
      </c>
      <c r="AU108">
        <v>443</v>
      </c>
      <c r="AV108">
        <v>100</v>
      </c>
      <c r="AW108">
        <v>100</v>
      </c>
      <c r="AX108">
        <v>526635</v>
      </c>
      <c r="AY108">
        <v>410775</v>
      </c>
      <c r="AZ108">
        <v>40</v>
      </c>
      <c r="BA108">
        <v>40</v>
      </c>
      <c r="BB108">
        <v>0</v>
      </c>
      <c r="BC108">
        <v>0</v>
      </c>
      <c r="BD108" s="6">
        <v>45252</v>
      </c>
      <c r="BE108" t="s">
        <v>160</v>
      </c>
      <c r="BF108">
        <v>605000</v>
      </c>
      <c r="BG108">
        <v>605000</v>
      </c>
      <c r="BH108" t="s">
        <v>198</v>
      </c>
      <c r="BI108">
        <v>30</v>
      </c>
      <c r="BJ108" t="s">
        <v>51</v>
      </c>
      <c r="BK108" t="s">
        <v>314</v>
      </c>
      <c r="BL108">
        <v>397200</v>
      </c>
      <c r="BM108">
        <v>81800</v>
      </c>
      <c r="BN108">
        <v>315400</v>
      </c>
      <c r="BO108">
        <v>0</v>
      </c>
      <c r="BP108">
        <v>0.65652892561983467</v>
      </c>
      <c r="BQ108">
        <v>532568.32099778648</v>
      </c>
      <c r="BR108">
        <v>538894.79950667848</v>
      </c>
      <c r="BS108" s="7">
        <f>(BR108-BL108)/BL108</f>
        <v>0.35673413773081186</v>
      </c>
      <c r="BT108" s="14">
        <f>(Sales[[#This Row],[DP1]]*Lookups!$B$51)+(Sales[[#This Row],[DP2]]*Lookups!$B$52)+(Sales[[#This Row],[DP3]]*Lookups!$B$53)</f>
        <v>-6326.4800000000005</v>
      </c>
      <c r="BU108" s="14">
        <f>Lookups!$B$48*0.5</f>
        <v>87214.824999999997</v>
      </c>
      <c r="BV108" s="14">
        <f>Lookups!$B$48*0.5</f>
        <v>87214.824999999997</v>
      </c>
      <c r="BW108" s="14">
        <f>Lookups!$B$49*Sales[[#This Row],[LnAcres]]</f>
        <v>-34695.961780777012</v>
      </c>
      <c r="BX108" s="14">
        <f>VLOOKUP(Sales[[#This Row],[Qlty]],Lookups!$A$54:$E$67,2,FALSE)</f>
        <v>-14329.694740000001</v>
      </c>
      <c r="BY108" s="14">
        <f>VLOOKUP(Sales[[#This Row],[Cnd]],Lookups!$A$68:$E$76,2,FALSE)</f>
        <v>0</v>
      </c>
      <c r="BZ108" s="14">
        <f>Sales[[#This Row],[Age]]*Lookups!$B$77</f>
        <v>8856.5966399999998</v>
      </c>
      <c r="CA108" s="14">
        <f>Sales[[#This Row],[MainFn]]*Lookups!$B$78</f>
        <v>108253.780253</v>
      </c>
      <c r="CB108" s="14">
        <f>Sales[[#This Row],[UpprFn]]*Lookups!$B$79</f>
        <v>0</v>
      </c>
      <c r="CC108" s="14">
        <f>Sales[[#This Row],[AddFn]]*Lookups!$B$80</f>
        <v>0</v>
      </c>
      <c r="CD108" s="14">
        <f>Sales[[#This Row],[Bsmt]]*Lookups!$B$81</f>
        <v>61451.397383999996</v>
      </c>
      <c r="CE108" s="14">
        <f>Sales[[#This Row],[Fixtures]]*Lookups!$B$84</f>
        <v>162481.60000000001</v>
      </c>
      <c r="CF108" s="14">
        <f>Sales[[#This Row],[MsnryFP]]*Lookups!$B$82</f>
        <v>0</v>
      </c>
      <c r="CG108" s="14">
        <f>Sales[[#This Row],[PrefabFP]]*Lookups!$B$83</f>
        <v>42091.021999999997</v>
      </c>
      <c r="CH108" s="14">
        <f>Sales[[#This Row],[GarageArea]]*Lookups!$B$85</f>
        <v>30356.419703</v>
      </c>
      <c r="CI108" s="14">
        <f>SUM(Sales[[#This Row],[Days Prior Total]:[Mdl GarageArea]])</f>
        <v>532568.32945922296</v>
      </c>
      <c r="CJ108" s="14">
        <f>ROUND(Sales[[#This Row],[25Det]],-2)</f>
        <v>0</v>
      </c>
      <c r="CK108" s="14">
        <f>ROUND(SUM(Sales[[#This Row],[Mdl Qlty]:[Mdl GarageArea]])+Sales[[#This Row],[Mdl Res Intercept]]+Sales[[#This Row],[Days Prior Total]],-2)</f>
        <v>480000</v>
      </c>
      <c r="CL108" s="14">
        <f>ROUND(Sales[[#This Row],[Mdl Land Intercept]]+Sales[[#This Row],[Mdl LnAcres]],-2)</f>
        <v>52500</v>
      </c>
      <c r="CM108" s="14">
        <f>Sales[[#This Row],[Unadj Res Value]]+Sales[[#This Row],[Unadj Det Value]]+Sales[[#This Row],[Unadj Land Value]]</f>
        <v>532500</v>
      </c>
      <c r="CN108" s="15">
        <f>Sales[[#This Row],[Unadj Total Value]]/Sales[[#This Row],[Price]]</f>
        <v>0.8801652892561983</v>
      </c>
      <c r="CO108" s="15">
        <f>(Sales[[#This Row],[Unadj Total Value]]-Sales[[#This Row],[24Final]])/Sales[[#This Row],[24Final]]</f>
        <v>0.34063444108761332</v>
      </c>
      <c r="CP108">
        <f>VLOOKUP(Sales[[#This Row],[TNbhd]],Lookups!$M$2:$P$4,4,FALSE)</f>
        <v>0.97570000000000001</v>
      </c>
      <c r="CQ108">
        <f>VLOOKUP(Sales[[#This Row],[Qlty]],Lookups!$M$6:$P$20,4,FALSE)</f>
        <v>0.98809999999999998</v>
      </c>
      <c r="CR108">
        <f>VLOOKUP(Sales[[#This Row],[Cnd]],Lookups!$R$6:$U$15,4,FALSE)</f>
        <v>0.9677</v>
      </c>
      <c r="CS108">
        <f>VLOOKUP(Sales[[#This Row],[LivArea Range]],Lookups!$R$23:$U$39,4,FALSE)</f>
        <v>0.99619999999999997</v>
      </c>
      <c r="CT108">
        <f>VLOOKUP(Sales[[#This Row],[Decade]],Lookups!$M$23:$P$35,4,FALSE)</f>
        <v>1.0153000000000001</v>
      </c>
      <c r="CU108">
        <f>Sales[[#This Row],[Nbhd Adj]]*0.95</f>
        <v>0.92691499999999993</v>
      </c>
      <c r="CV108">
        <f>Sales[[#This Row],[Nbhd Adj]]*Sales[[#This Row],[Quality Adj]]*Sales[[#This Row],[Condition Adj]]*Sales[[#This Row],[Living Area Adj]]*Sales[[#This Row],[Decade Adj]]*0.95</f>
        <v>0.89644257454763587</v>
      </c>
      <c r="CW108">
        <f>ROUND(SUM(Sales[[#This Row],[Mdl Qlty]:[Mdl GarageArea]])+Sales[[#This Row],[Mdl Res Intercept]]*Sales[[#This Row],[Res Adj ]],-2)</f>
        <v>477300</v>
      </c>
      <c r="CX108">
        <f>ROUND(Sales[[#This Row],[25Det]]*Sales[[#This Row],[Det/Nbhd Adj]],-2)</f>
        <v>0</v>
      </c>
      <c r="CY108">
        <f>Sales[[#This Row],[Adjusted Res]]+Sales[[#This Row],[Adj Det ]]</f>
        <v>477300</v>
      </c>
      <c r="CZ108">
        <f>ROUND((Sales[[#This Row],[Mdl Land Intercept]]+Sales[[#This Row],[Mdl LnAcres]])*Sales[[#This Row],[Det/Nbhd Adj]],-2)</f>
        <v>48700</v>
      </c>
      <c r="DA108">
        <f>Sales[[#This Row],[Adjusted Impr Total]]+Sales[[#This Row],[Adjusted Land Total]]</f>
        <v>526000</v>
      </c>
      <c r="DB108">
        <f>IFERROR((Sales[[#This Row],[Adjusted Impr Total]]-Sales[[#This Row],[24Bldg]])/Sales[[#This Row],[24Bldg]],0)</f>
        <v>0.51331642358909324</v>
      </c>
      <c r="DC108">
        <f>(Sales[[#This Row],[Adjusted Land Total]]-Sales[[#This Row],[24Lnd]])/Sales[[#This Row],[24Lnd]]</f>
        <v>-0.40464547677261614</v>
      </c>
      <c r="DD108">
        <f>(Sales[[#This Row],[Adjusted Total]]-Sales[[#This Row],[24Final]])/Sales[[#This Row],[24Final]]</f>
        <v>0.32426988922457201</v>
      </c>
      <c r="DE108">
        <f>(Sales[[#This Row],[Adjusted Total]]+Sales[[#This Row],[Days Prior Total]])/Sales[[#This Row],[Price]]</f>
        <v>0.85896449586776857</v>
      </c>
    </row>
    <row r="109" spans="1:109" x14ac:dyDescent="0.3">
      <c r="A109">
        <v>2025</v>
      </c>
      <c r="B109">
        <v>18131532409</v>
      </c>
      <c r="C109">
        <v>-1.7147984280919266</v>
      </c>
      <c r="D109">
        <v>0.18</v>
      </c>
      <c r="E109">
        <v>8043</v>
      </c>
      <c r="F109">
        <v>5</v>
      </c>
      <c r="G109" t="s">
        <v>89</v>
      </c>
      <c r="H109">
        <v>3041</v>
      </c>
      <c r="I109" t="s">
        <v>302</v>
      </c>
      <c r="J109" t="s">
        <v>26</v>
      </c>
      <c r="K109">
        <v>11</v>
      </c>
      <c r="L109">
        <v>259</v>
      </c>
      <c r="M109" t="s">
        <v>172</v>
      </c>
      <c r="N109" t="s">
        <v>111</v>
      </c>
      <c r="O109" t="s">
        <v>231</v>
      </c>
      <c r="P109">
        <v>1976</v>
      </c>
      <c r="Q109">
        <v>1979</v>
      </c>
      <c r="R109">
        <v>50</v>
      </c>
      <c r="S109">
        <v>48</v>
      </c>
      <c r="T109">
        <v>45</v>
      </c>
      <c r="U109">
        <v>1</v>
      </c>
      <c r="V109">
        <v>1800</v>
      </c>
      <c r="W109">
        <v>0</v>
      </c>
      <c r="X109">
        <v>0</v>
      </c>
      <c r="Y109">
        <v>2568</v>
      </c>
      <c r="Z109">
        <v>1800</v>
      </c>
      <c r="AA109">
        <v>768</v>
      </c>
      <c r="AB109">
        <v>3600</v>
      </c>
      <c r="AC109">
        <v>4000</v>
      </c>
      <c r="AD109">
        <v>3</v>
      </c>
      <c r="AF109" t="s">
        <v>275</v>
      </c>
      <c r="AG109" t="s">
        <v>111</v>
      </c>
      <c r="AH109" t="s">
        <v>314</v>
      </c>
      <c r="AI109">
        <v>0</v>
      </c>
      <c r="AJ109">
        <v>3</v>
      </c>
      <c r="AK109">
        <v>0</v>
      </c>
      <c r="AL109">
        <v>2</v>
      </c>
      <c r="AM109">
        <v>0</v>
      </c>
      <c r="AN109">
        <v>14</v>
      </c>
      <c r="AO109">
        <v>768</v>
      </c>
      <c r="AP109">
        <v>0</v>
      </c>
      <c r="AQ109">
        <v>768</v>
      </c>
      <c r="AR109">
        <v>0</v>
      </c>
      <c r="AS109">
        <v>608</v>
      </c>
      <c r="AT109">
        <v>0</v>
      </c>
      <c r="AU109">
        <v>0</v>
      </c>
      <c r="AV109">
        <v>100</v>
      </c>
      <c r="AW109">
        <v>100</v>
      </c>
      <c r="AX109">
        <v>591057</v>
      </c>
      <c r="AY109">
        <v>461024</v>
      </c>
      <c r="AZ109">
        <v>796</v>
      </c>
      <c r="BA109">
        <v>365</v>
      </c>
      <c r="BB109">
        <v>365</v>
      </c>
      <c r="BC109">
        <v>66</v>
      </c>
      <c r="BD109" s="6">
        <v>44496</v>
      </c>
      <c r="BE109" t="s">
        <v>210</v>
      </c>
      <c r="BF109">
        <v>483000</v>
      </c>
      <c r="BG109">
        <v>483000</v>
      </c>
      <c r="BH109" t="s">
        <v>198</v>
      </c>
      <c r="BI109">
        <v>30</v>
      </c>
      <c r="BJ109" t="s">
        <v>51</v>
      </c>
      <c r="BK109" t="s">
        <v>314</v>
      </c>
      <c r="BL109">
        <v>476500</v>
      </c>
      <c r="BM109">
        <v>63100</v>
      </c>
      <c r="BN109">
        <v>413400</v>
      </c>
      <c r="BO109">
        <v>0</v>
      </c>
      <c r="BP109">
        <v>0.98654244306418215</v>
      </c>
      <c r="BQ109">
        <v>537401.4105363586</v>
      </c>
      <c r="BR109">
        <v>580769.44688474527</v>
      </c>
      <c r="BS109" s="7">
        <f>(BR109-BL109)/BL109</f>
        <v>0.21882360311593971</v>
      </c>
      <c r="BT109" s="14">
        <f>(Sales[[#This Row],[DP1]]*Lookups!$B$51)+(Sales[[#This Row],[DP2]]*Lookups!$B$52)+(Sales[[#This Row],[DP3]]*Lookups!$B$53)</f>
        <v>-43368.046710000002</v>
      </c>
      <c r="BU109" s="14">
        <f>Lookups!$B$48*0.5</f>
        <v>87214.824999999997</v>
      </c>
      <c r="BV109" s="14">
        <f>Lookups!$B$48*0.5</f>
        <v>87214.824999999997</v>
      </c>
      <c r="BW109" s="14">
        <f>Lookups!$B$49*Sales[[#This Row],[LnAcres]]</f>
        <v>-42917.710979326817</v>
      </c>
      <c r="BX109" s="14">
        <f>VLOOKUP(Sales[[#This Row],[Qlty]],Lookups!$A$54:$E$67,2,FALSE)</f>
        <v>-14329.694740000001</v>
      </c>
      <c r="BY109" s="14">
        <f>VLOOKUP(Sales[[#This Row],[Cnd]],Lookups!$A$68:$E$76,2,FALSE)</f>
        <v>0</v>
      </c>
      <c r="BZ109" s="14">
        <f>Sales[[#This Row],[Age]]*Lookups!$B$77</f>
        <v>8856.5966399999998</v>
      </c>
      <c r="CA109" s="14">
        <f>Sales[[#This Row],[MainFn]]*Lookups!$B$78</f>
        <v>124350.2262</v>
      </c>
      <c r="CB109" s="14">
        <f>Sales[[#This Row],[UpprFn]]*Lookups!$B$79</f>
        <v>0</v>
      </c>
      <c r="CC109" s="14">
        <f>Sales[[#This Row],[AddFn]]*Lookups!$B$80</f>
        <v>0</v>
      </c>
      <c r="CD109" s="14">
        <f>Sales[[#This Row],[Bsmt]]*Lookups!$B$81</f>
        <v>73467.033744</v>
      </c>
      <c r="CE109" s="14">
        <f>Sales[[#This Row],[Fixtures]]*Lookups!$B$84</f>
        <v>142171.4</v>
      </c>
      <c r="CF109" s="14">
        <f>Sales[[#This Row],[MsnryFP]]*Lookups!$B$82</f>
        <v>75820.869000000006</v>
      </c>
      <c r="CG109" s="14">
        <f>Sales[[#This Row],[PrefabFP]]*Lookups!$B$83</f>
        <v>0</v>
      </c>
      <c r="CH109" s="14">
        <f>Sales[[#This Row],[GarageArea]]*Lookups!$B$85</f>
        <v>38921.085696000002</v>
      </c>
      <c r="CI109" s="14">
        <f>SUM(Sales[[#This Row],[Days Prior Total]:[Mdl GarageArea]])</f>
        <v>537401.40885067312</v>
      </c>
      <c r="CJ109" s="14">
        <f>ROUND(Sales[[#This Row],[25Det]],-2)</f>
        <v>0</v>
      </c>
      <c r="CK109" s="14">
        <f>ROUND(SUM(Sales[[#This Row],[Mdl Qlty]:[Mdl GarageArea]])+Sales[[#This Row],[Mdl Res Intercept]]+Sales[[#This Row],[Days Prior Total]],-2)</f>
        <v>493100</v>
      </c>
      <c r="CL109" s="14">
        <f>ROUND(Sales[[#This Row],[Mdl Land Intercept]]+Sales[[#This Row],[Mdl LnAcres]],-2)</f>
        <v>44300</v>
      </c>
      <c r="CM109" s="14">
        <f>Sales[[#This Row],[Unadj Res Value]]+Sales[[#This Row],[Unadj Det Value]]+Sales[[#This Row],[Unadj Land Value]]</f>
        <v>537400</v>
      </c>
      <c r="CN109" s="15">
        <f>Sales[[#This Row],[Unadj Total Value]]/Sales[[#This Row],[Price]]</f>
        <v>1.1126293995859213</v>
      </c>
      <c r="CO109" s="15">
        <f>(Sales[[#This Row],[Unadj Total Value]]-Sales[[#This Row],[24Final]])/Sales[[#This Row],[24Final]]</f>
        <v>0.12780692549842601</v>
      </c>
      <c r="CP109">
        <f>VLOOKUP(Sales[[#This Row],[TNbhd]],Lookups!$M$2:$P$4,4,FALSE)</f>
        <v>0.97570000000000001</v>
      </c>
      <c r="CQ109">
        <f>VLOOKUP(Sales[[#This Row],[Qlty]],Lookups!$M$6:$P$20,4,FALSE)</f>
        <v>0.98809999999999998</v>
      </c>
      <c r="CR109">
        <f>VLOOKUP(Sales[[#This Row],[Cnd]],Lookups!$R$6:$U$15,4,FALSE)</f>
        <v>0.9677</v>
      </c>
      <c r="CS109">
        <f>VLOOKUP(Sales[[#This Row],[LivArea Range]],Lookups!$R$23:$U$39,4,FALSE)</f>
        <v>1.034</v>
      </c>
      <c r="CT109">
        <f>VLOOKUP(Sales[[#This Row],[Decade]],Lookups!$M$23:$P$35,4,FALSE)</f>
        <v>1.0153000000000001</v>
      </c>
      <c r="CU109">
        <f>Sales[[#This Row],[Nbhd Adj]]*0.95</f>
        <v>0.92691499999999993</v>
      </c>
      <c r="CV109">
        <f>Sales[[#This Row],[Nbhd Adj]]*Sales[[#This Row],[Quality Adj]]*Sales[[#This Row],[Condition Adj]]*Sales[[#This Row],[Living Area Adj]]*Sales[[#This Row],[Decade Adj]]*0.95</f>
        <v>0.93045736005044721</v>
      </c>
      <c r="CW109">
        <f>ROUND(SUM(Sales[[#This Row],[Mdl Qlty]:[Mdl GarageArea]])+Sales[[#This Row],[Mdl Res Intercept]]*Sales[[#This Row],[Res Adj ]],-2)</f>
        <v>530400</v>
      </c>
      <c r="CX109">
        <f>ROUND(Sales[[#This Row],[25Det]]*Sales[[#This Row],[Det/Nbhd Adj]],-2)</f>
        <v>0</v>
      </c>
      <c r="CY109">
        <f>Sales[[#This Row],[Adjusted Res]]+Sales[[#This Row],[Adj Det ]]</f>
        <v>530400</v>
      </c>
      <c r="CZ109">
        <f>ROUND((Sales[[#This Row],[Mdl Land Intercept]]+Sales[[#This Row],[Mdl LnAcres]])*Sales[[#This Row],[Det/Nbhd Adj]],-2)</f>
        <v>41100</v>
      </c>
      <c r="DA109">
        <f>Sales[[#This Row],[Adjusted Impr Total]]+Sales[[#This Row],[Adjusted Land Total]]</f>
        <v>571500</v>
      </c>
      <c r="DB109">
        <f>IFERROR((Sales[[#This Row],[Adjusted Impr Total]]-Sales[[#This Row],[24Bldg]])/Sales[[#This Row],[24Bldg]],0)</f>
        <v>0.28301886792452829</v>
      </c>
      <c r="DC109">
        <f>(Sales[[#This Row],[Adjusted Land Total]]-Sales[[#This Row],[24Lnd]])/Sales[[#This Row],[24Lnd]]</f>
        <v>-0.34865293185419971</v>
      </c>
      <c r="DD109">
        <f>(Sales[[#This Row],[Adjusted Total]]-Sales[[#This Row],[24Final]])/Sales[[#This Row],[24Final]]</f>
        <v>0.1993704092339979</v>
      </c>
      <c r="DE109">
        <f>(Sales[[#This Row],[Adjusted Total]]+Sales[[#This Row],[Days Prior Total]])/Sales[[#This Row],[Price]]</f>
        <v>1.0934408970807452</v>
      </c>
    </row>
    <row r="110" spans="1:109" x14ac:dyDescent="0.3">
      <c r="A110">
        <v>2025</v>
      </c>
      <c r="B110">
        <v>18131623408</v>
      </c>
      <c r="C110">
        <v>0.82855181756614826</v>
      </c>
      <c r="D110">
        <v>2.29</v>
      </c>
      <c r="E110">
        <v>0</v>
      </c>
      <c r="F110">
        <v>5</v>
      </c>
      <c r="G110" t="s">
        <v>89</v>
      </c>
      <c r="H110" t="s">
        <v>302</v>
      </c>
      <c r="I110" t="s">
        <v>302</v>
      </c>
      <c r="J110" t="s">
        <v>110</v>
      </c>
      <c r="K110">
        <v>11</v>
      </c>
      <c r="L110">
        <v>259</v>
      </c>
      <c r="M110" t="s">
        <v>131</v>
      </c>
      <c r="N110" t="s">
        <v>111</v>
      </c>
      <c r="O110" t="s">
        <v>207</v>
      </c>
      <c r="P110">
        <v>1976</v>
      </c>
      <c r="Q110">
        <v>1979</v>
      </c>
      <c r="R110">
        <v>50</v>
      </c>
      <c r="S110">
        <v>48</v>
      </c>
      <c r="T110">
        <v>45</v>
      </c>
      <c r="U110">
        <v>2</v>
      </c>
      <c r="V110">
        <v>1106</v>
      </c>
      <c r="W110">
        <v>614</v>
      </c>
      <c r="X110">
        <v>0</v>
      </c>
      <c r="Y110">
        <v>1026</v>
      </c>
      <c r="Z110">
        <v>513</v>
      </c>
      <c r="AA110">
        <v>513</v>
      </c>
      <c r="AB110">
        <v>2233</v>
      </c>
      <c r="AC110">
        <v>2500</v>
      </c>
      <c r="AD110">
        <v>0</v>
      </c>
      <c r="AF110" t="s">
        <v>275</v>
      </c>
      <c r="AG110" t="s">
        <v>274</v>
      </c>
      <c r="AH110" t="s">
        <v>314</v>
      </c>
      <c r="AI110">
        <v>1</v>
      </c>
      <c r="AJ110">
        <v>1</v>
      </c>
      <c r="AK110">
        <v>0</v>
      </c>
      <c r="AL110">
        <v>1</v>
      </c>
      <c r="AM110">
        <v>0</v>
      </c>
      <c r="AN110">
        <v>12</v>
      </c>
      <c r="AO110">
        <v>0</v>
      </c>
      <c r="AP110">
        <v>0</v>
      </c>
      <c r="AQ110">
        <v>0</v>
      </c>
      <c r="AR110">
        <v>240</v>
      </c>
      <c r="AS110">
        <v>398</v>
      </c>
      <c r="AT110">
        <v>0</v>
      </c>
      <c r="AU110">
        <v>354</v>
      </c>
      <c r="AV110">
        <v>100</v>
      </c>
      <c r="AW110">
        <v>100</v>
      </c>
      <c r="AX110">
        <v>425947</v>
      </c>
      <c r="AY110">
        <v>332239</v>
      </c>
      <c r="AZ110">
        <v>109</v>
      </c>
      <c r="BA110">
        <v>109</v>
      </c>
      <c r="BB110">
        <v>0</v>
      </c>
      <c r="BC110">
        <v>0</v>
      </c>
      <c r="BD110" s="6">
        <v>45183</v>
      </c>
      <c r="BE110" t="s">
        <v>284</v>
      </c>
      <c r="BF110">
        <v>575000</v>
      </c>
      <c r="BG110">
        <v>559639</v>
      </c>
      <c r="BH110" t="s">
        <v>198</v>
      </c>
      <c r="BI110">
        <v>30</v>
      </c>
      <c r="BJ110" t="s">
        <v>51</v>
      </c>
      <c r="BK110" t="s">
        <v>314</v>
      </c>
      <c r="BL110">
        <v>540700</v>
      </c>
      <c r="BM110">
        <v>207600</v>
      </c>
      <c r="BN110">
        <v>333100</v>
      </c>
      <c r="BO110">
        <v>15361</v>
      </c>
      <c r="BP110">
        <v>0.94034782608695655</v>
      </c>
      <c r="BQ110">
        <v>510188.35010501544</v>
      </c>
      <c r="BR110">
        <v>527428.00404174626</v>
      </c>
      <c r="BS110" s="7">
        <f>(BR110-BL110)/BL110</f>
        <v>-2.454595146708663E-2</v>
      </c>
      <c r="BT110" s="14">
        <f>(Sales[[#This Row],[DP1]]*Lookups!$B$51)+(Sales[[#This Row],[DP2]]*Lookups!$B$52)+(Sales[[#This Row],[DP3]]*Lookups!$B$53)</f>
        <v>-17239.657999999999</v>
      </c>
      <c r="BU110" s="14">
        <f>Lookups!$B$48*0.5</f>
        <v>87214.824999999997</v>
      </c>
      <c r="BV110" s="14">
        <f>Lookups!$B$48*0.5</f>
        <v>87214.824999999997</v>
      </c>
      <c r="BW110" s="14">
        <f>Lookups!$B$49*Sales[[#This Row],[LnAcres]]</f>
        <v>20736.867293065654</v>
      </c>
      <c r="BX110" s="14">
        <f>VLOOKUP(Sales[[#This Row],[Qlty]],Lookups!$A$54:$E$67,2,FALSE)</f>
        <v>-14329.694740000001</v>
      </c>
      <c r="BY110" s="14">
        <f>VLOOKUP(Sales[[#This Row],[Cnd]],Lookups!$A$68:$E$76,2,FALSE)</f>
        <v>47273.897095</v>
      </c>
      <c r="BZ110" s="14">
        <f>Sales[[#This Row],[Age]]*Lookups!$B$77</f>
        <v>8856.5966399999998</v>
      </c>
      <c r="CA110" s="14">
        <f>Sales[[#This Row],[MainFn]]*Lookups!$B$78</f>
        <v>76406.305654000011</v>
      </c>
      <c r="CB110" s="14">
        <f>Sales[[#This Row],[UpprFn]]*Lookups!$B$79</f>
        <v>37567.083450000006</v>
      </c>
      <c r="CC110" s="14">
        <f>Sales[[#This Row],[AddFn]]*Lookups!$B$80</f>
        <v>0</v>
      </c>
      <c r="CD110" s="14">
        <f>Sales[[#This Row],[Bsmt]]*Lookups!$B$81</f>
        <v>29352.483107999997</v>
      </c>
      <c r="CE110" s="14">
        <f>Sales[[#This Row],[Fixtures]]*Lookups!$B$84</f>
        <v>121861.20000000001</v>
      </c>
      <c r="CF110" s="14">
        <f>Sales[[#This Row],[MsnryFP]]*Lookups!$B$82</f>
        <v>25273.623</v>
      </c>
      <c r="CG110" s="14">
        <f>Sales[[#This Row],[PrefabFP]]*Lookups!$B$83</f>
        <v>0</v>
      </c>
      <c r="CH110" s="14">
        <f>Sales[[#This Row],[GarageArea]]*Lookups!$B$85</f>
        <v>0</v>
      </c>
      <c r="CI110" s="14">
        <f>SUM(Sales[[#This Row],[Days Prior Total]:[Mdl GarageArea]])</f>
        <v>510188.35350006568</v>
      </c>
      <c r="CJ110" s="14">
        <f>ROUND(Sales[[#This Row],[25Det]],-2)</f>
        <v>15400</v>
      </c>
      <c r="CK110" s="14">
        <f>ROUND(SUM(Sales[[#This Row],[Mdl Qlty]:[Mdl GarageArea]])+Sales[[#This Row],[Mdl Res Intercept]]+Sales[[#This Row],[Days Prior Total]],-2)</f>
        <v>402200</v>
      </c>
      <c r="CL110" s="14">
        <f>ROUND(Sales[[#This Row],[Mdl Land Intercept]]+Sales[[#This Row],[Mdl LnAcres]],-2)</f>
        <v>108000</v>
      </c>
      <c r="CM110" s="14">
        <f>Sales[[#This Row],[Unadj Res Value]]+Sales[[#This Row],[Unadj Det Value]]+Sales[[#This Row],[Unadj Land Value]]</f>
        <v>525600</v>
      </c>
      <c r="CN110" s="15">
        <f>Sales[[#This Row],[Unadj Total Value]]/Sales[[#This Row],[Price]]</f>
        <v>0.9140869565217391</v>
      </c>
      <c r="CO110" s="15">
        <f>(Sales[[#This Row],[Unadj Total Value]]-Sales[[#This Row],[24Final]])/Sales[[#This Row],[24Final]]</f>
        <v>-2.7926761605326429E-2</v>
      </c>
      <c r="CP110">
        <f>VLOOKUP(Sales[[#This Row],[TNbhd]],Lookups!$M$2:$P$4,4,FALSE)</f>
        <v>0.97570000000000001</v>
      </c>
      <c r="CQ110">
        <f>VLOOKUP(Sales[[#This Row],[Qlty]],Lookups!$M$6:$P$20,4,FALSE)</f>
        <v>0.98809999999999998</v>
      </c>
      <c r="CR110">
        <f>VLOOKUP(Sales[[#This Row],[Cnd]],Lookups!$R$6:$U$15,4,FALSE)</f>
        <v>0.97829999999999995</v>
      </c>
      <c r="CS110">
        <f>VLOOKUP(Sales[[#This Row],[LivArea Range]],Lookups!$R$23:$U$39,4,FALSE)</f>
        <v>0.93440000000000001</v>
      </c>
      <c r="CT110">
        <f>VLOOKUP(Sales[[#This Row],[Decade]],Lookups!$M$23:$P$35,4,FALSE)</f>
        <v>1.0153000000000001</v>
      </c>
      <c r="CU110">
        <f>Sales[[#This Row],[Nbhd Adj]]*0.95</f>
        <v>0.92691499999999993</v>
      </c>
      <c r="CV110">
        <f>Sales[[#This Row],[Nbhd Adj]]*Sales[[#This Row],[Quality Adj]]*Sales[[#This Row],[Condition Adj]]*Sales[[#This Row],[Living Area Adj]]*Sales[[#This Row],[Decade Adj]]*0.95</f>
        <v>0.85004140226334002</v>
      </c>
      <c r="CW110">
        <f>ROUND(SUM(Sales[[#This Row],[Mdl Qlty]:[Mdl GarageArea]])+Sales[[#This Row],[Mdl Res Intercept]]*Sales[[#This Row],[Res Adj ]],-2)</f>
        <v>406400</v>
      </c>
      <c r="CX110">
        <f>ROUND(Sales[[#This Row],[25Det]]*Sales[[#This Row],[Det/Nbhd Adj]],-2)</f>
        <v>14200</v>
      </c>
      <c r="CY110">
        <f>Sales[[#This Row],[Adjusted Res]]+Sales[[#This Row],[Adj Det ]]</f>
        <v>420600</v>
      </c>
      <c r="CZ110">
        <f>ROUND((Sales[[#This Row],[Mdl Land Intercept]]+Sales[[#This Row],[Mdl LnAcres]])*Sales[[#This Row],[Det/Nbhd Adj]],-2)</f>
        <v>100100</v>
      </c>
      <c r="DA110">
        <f>Sales[[#This Row],[Adjusted Impr Total]]+Sales[[#This Row],[Adjusted Land Total]]</f>
        <v>520700</v>
      </c>
      <c r="DB110">
        <f>IFERROR((Sales[[#This Row],[Adjusted Impr Total]]-Sales[[#This Row],[24Bldg]])/Sales[[#This Row],[24Bldg]],0)</f>
        <v>0.26268387871510057</v>
      </c>
      <c r="DC110">
        <f>(Sales[[#This Row],[Adjusted Land Total]]-Sales[[#This Row],[24Lnd]])/Sales[[#This Row],[24Lnd]]</f>
        <v>-0.51782273603082851</v>
      </c>
      <c r="DD110">
        <f>(Sales[[#This Row],[Adjusted Total]]-Sales[[#This Row],[24Final]])/Sales[[#This Row],[24Final]]</f>
        <v>-3.6989088218975404E-2</v>
      </c>
      <c r="DE110">
        <f>(Sales[[#This Row],[Adjusted Total]]+Sales[[#This Row],[Days Prior Total]])/Sales[[#This Row],[Price]]</f>
        <v>0.87558320347826091</v>
      </c>
    </row>
    <row r="111" spans="1:109" x14ac:dyDescent="0.3">
      <c r="A111">
        <v>2025</v>
      </c>
      <c r="B111">
        <v>18131532436</v>
      </c>
      <c r="C111">
        <v>-1.5141277326297755</v>
      </c>
      <c r="D111">
        <v>0.22</v>
      </c>
      <c r="E111">
        <v>9391</v>
      </c>
      <c r="F111">
        <v>5</v>
      </c>
      <c r="G111" t="s">
        <v>89</v>
      </c>
      <c r="H111">
        <v>3041</v>
      </c>
      <c r="I111" t="s">
        <v>302</v>
      </c>
      <c r="J111" t="s">
        <v>26</v>
      </c>
      <c r="K111">
        <v>11</v>
      </c>
      <c r="L111">
        <v>259</v>
      </c>
      <c r="M111" t="s">
        <v>4</v>
      </c>
      <c r="N111" t="s">
        <v>111</v>
      </c>
      <c r="O111" t="s">
        <v>231</v>
      </c>
      <c r="P111">
        <v>1975</v>
      </c>
      <c r="Q111">
        <v>1979</v>
      </c>
      <c r="R111">
        <v>50</v>
      </c>
      <c r="S111">
        <v>49</v>
      </c>
      <c r="T111">
        <v>45</v>
      </c>
      <c r="U111">
        <v>1</v>
      </c>
      <c r="V111">
        <v>1386</v>
      </c>
      <c r="W111">
        <v>0</v>
      </c>
      <c r="X111">
        <v>0</v>
      </c>
      <c r="Y111">
        <v>696</v>
      </c>
      <c r="Z111">
        <v>696</v>
      </c>
      <c r="AA111">
        <v>0</v>
      </c>
      <c r="AB111">
        <v>2082</v>
      </c>
      <c r="AC111">
        <v>2500</v>
      </c>
      <c r="AD111">
        <v>2</v>
      </c>
      <c r="AF111" t="s">
        <v>275</v>
      </c>
      <c r="AG111" t="s">
        <v>111</v>
      </c>
      <c r="AH111" t="s">
        <v>314</v>
      </c>
      <c r="AI111">
        <v>0</v>
      </c>
      <c r="AJ111">
        <v>2</v>
      </c>
      <c r="AK111">
        <v>0</v>
      </c>
      <c r="AL111">
        <v>1</v>
      </c>
      <c r="AM111">
        <v>1</v>
      </c>
      <c r="AN111">
        <v>10</v>
      </c>
      <c r="AO111">
        <v>0</v>
      </c>
      <c r="AP111">
        <v>714</v>
      </c>
      <c r="AQ111">
        <v>714</v>
      </c>
      <c r="AR111">
        <v>0</v>
      </c>
      <c r="AS111">
        <v>200</v>
      </c>
      <c r="AT111">
        <v>0</v>
      </c>
      <c r="AU111">
        <v>0</v>
      </c>
      <c r="AV111">
        <v>100</v>
      </c>
      <c r="AW111">
        <v>100</v>
      </c>
      <c r="AX111">
        <v>386182</v>
      </c>
      <c r="AY111">
        <v>301222</v>
      </c>
      <c r="AZ111">
        <v>852</v>
      </c>
      <c r="BA111">
        <v>365</v>
      </c>
      <c r="BB111">
        <v>365</v>
      </c>
      <c r="BC111">
        <v>122</v>
      </c>
      <c r="BD111" s="6">
        <v>44440</v>
      </c>
      <c r="BE111" t="s">
        <v>262</v>
      </c>
      <c r="BF111">
        <v>395000</v>
      </c>
      <c r="BG111">
        <v>395000</v>
      </c>
      <c r="BH111" t="s">
        <v>198</v>
      </c>
      <c r="BI111">
        <v>30</v>
      </c>
      <c r="BJ111" t="s">
        <v>51</v>
      </c>
      <c r="BK111" t="s">
        <v>314</v>
      </c>
      <c r="BL111">
        <v>411200</v>
      </c>
      <c r="BM111">
        <v>74500</v>
      </c>
      <c r="BN111">
        <v>336700</v>
      </c>
      <c r="BO111">
        <v>0</v>
      </c>
      <c r="BP111">
        <v>1.0410126582278481</v>
      </c>
      <c r="BQ111">
        <v>374540.83912196034</v>
      </c>
      <c r="BR111">
        <v>435189.69417081622</v>
      </c>
      <c r="BS111" s="7">
        <f>(BR111-BL111)/BL111</f>
        <v>5.8340695940700925E-2</v>
      </c>
      <c r="BT111" s="14">
        <f>(Sales[[#This Row],[DP1]]*Lookups!$B$51)+(Sales[[#This Row],[DP2]]*Lookups!$B$52)+(Sales[[#This Row],[DP3]]*Lookups!$B$53)</f>
        <v>-60648.862710000001</v>
      </c>
      <c r="BU111" s="14">
        <f>Lookups!$B$48*0.5</f>
        <v>87214.824999999997</v>
      </c>
      <c r="BV111" s="14">
        <f>Lookups!$B$48*0.5</f>
        <v>87214.824999999997</v>
      </c>
      <c r="BW111" s="14">
        <f>Lookups!$B$49*Sales[[#This Row],[LnAcres]]</f>
        <v>-37895.355716587197</v>
      </c>
      <c r="BX111" s="14">
        <f>VLOOKUP(Sales[[#This Row],[Qlty]],Lookups!$A$54:$E$67,2,FALSE)</f>
        <v>-14329.694740000001</v>
      </c>
      <c r="BY111" s="14">
        <f>VLOOKUP(Sales[[#This Row],[Cnd]],Lookups!$A$68:$E$76,2,FALSE)</f>
        <v>0</v>
      </c>
      <c r="BZ111" s="14">
        <f>Sales[[#This Row],[Age]]*Lookups!$B$77</f>
        <v>9041.1090700000004</v>
      </c>
      <c r="CA111" s="14">
        <f>Sales[[#This Row],[MainFn]]*Lookups!$B$78</f>
        <v>95749.674174</v>
      </c>
      <c r="CB111" s="14">
        <f>Sales[[#This Row],[UpprFn]]*Lookups!$B$79</f>
        <v>0</v>
      </c>
      <c r="CC111" s="14">
        <f>Sales[[#This Row],[AddFn]]*Lookups!$B$80</f>
        <v>0</v>
      </c>
      <c r="CD111" s="14">
        <f>Sales[[#This Row],[Bsmt]]*Lookups!$B$81</f>
        <v>19911.625968</v>
      </c>
      <c r="CE111" s="14">
        <f>Sales[[#This Row],[Fixtures]]*Lookups!$B$84</f>
        <v>101551</v>
      </c>
      <c r="CF111" s="14">
        <f>Sales[[#This Row],[MsnryFP]]*Lookups!$B$82</f>
        <v>50547.245999999999</v>
      </c>
      <c r="CG111" s="14">
        <f>Sales[[#This Row],[PrefabFP]]*Lookups!$B$83</f>
        <v>0</v>
      </c>
      <c r="CH111" s="14">
        <f>Sales[[#This Row],[GarageArea]]*Lookups!$B$85</f>
        <v>36184.446858000003</v>
      </c>
      <c r="CI111" s="14">
        <f>SUM(Sales[[#This Row],[Days Prior Total]:[Mdl GarageArea]])</f>
        <v>374540.83890341275</v>
      </c>
      <c r="CJ111" s="14">
        <f>ROUND(Sales[[#This Row],[25Det]],-2)</f>
        <v>0</v>
      </c>
      <c r="CK111" s="14">
        <f>ROUND(SUM(Sales[[#This Row],[Mdl Qlty]:[Mdl GarageArea]])+Sales[[#This Row],[Mdl Res Intercept]]+Sales[[#This Row],[Days Prior Total]],-2)</f>
        <v>325200</v>
      </c>
      <c r="CL111" s="14">
        <f>ROUND(Sales[[#This Row],[Mdl Land Intercept]]+Sales[[#This Row],[Mdl LnAcres]],-2)</f>
        <v>49300</v>
      </c>
      <c r="CM111" s="14">
        <f>Sales[[#This Row],[Unadj Res Value]]+Sales[[#This Row],[Unadj Det Value]]+Sales[[#This Row],[Unadj Land Value]]</f>
        <v>374500</v>
      </c>
      <c r="CN111" s="15">
        <f>Sales[[#This Row],[Unadj Total Value]]/Sales[[#This Row],[Price]]</f>
        <v>0.94810126582278476</v>
      </c>
      <c r="CO111" s="15">
        <f>(Sales[[#This Row],[Unadj Total Value]]-Sales[[#This Row],[24Final]])/Sales[[#This Row],[24Final]]</f>
        <v>-8.9250972762645917E-2</v>
      </c>
      <c r="CP111">
        <f>VLOOKUP(Sales[[#This Row],[TNbhd]],Lookups!$M$2:$P$4,4,FALSE)</f>
        <v>0.97570000000000001</v>
      </c>
      <c r="CQ111">
        <f>VLOOKUP(Sales[[#This Row],[Qlty]],Lookups!$M$6:$P$20,4,FALSE)</f>
        <v>0.98809999999999998</v>
      </c>
      <c r="CR111">
        <f>VLOOKUP(Sales[[#This Row],[Cnd]],Lookups!$R$6:$U$15,4,FALSE)</f>
        <v>0.9677</v>
      </c>
      <c r="CS111">
        <f>VLOOKUP(Sales[[#This Row],[LivArea Range]],Lookups!$R$23:$U$39,4,FALSE)</f>
        <v>0.93440000000000001</v>
      </c>
      <c r="CT111">
        <f>VLOOKUP(Sales[[#This Row],[Decade]],Lookups!$M$23:$P$35,4,FALSE)</f>
        <v>1.0153000000000001</v>
      </c>
      <c r="CU111">
        <f>Sales[[#This Row],[Nbhd Adj]]*0.95</f>
        <v>0.92691499999999993</v>
      </c>
      <c r="CV111">
        <f>Sales[[#This Row],[Nbhd Adj]]*Sales[[#This Row],[Quality Adj]]*Sales[[#This Row],[Condition Adj]]*Sales[[#This Row],[Living Area Adj]]*Sales[[#This Row],[Decade Adj]]*0.95</f>
        <v>0.84083109983669047</v>
      </c>
      <c r="CW111">
        <f>ROUND(SUM(Sales[[#This Row],[Mdl Qlty]:[Mdl GarageArea]])+Sales[[#This Row],[Mdl Res Intercept]]*Sales[[#This Row],[Res Adj ]],-2)</f>
        <v>372000</v>
      </c>
      <c r="CX111">
        <f>ROUND(Sales[[#This Row],[25Det]]*Sales[[#This Row],[Det/Nbhd Adj]],-2)</f>
        <v>0</v>
      </c>
      <c r="CY111">
        <f>Sales[[#This Row],[Adjusted Res]]+Sales[[#This Row],[Adj Det ]]</f>
        <v>372000</v>
      </c>
      <c r="CZ111">
        <f>ROUND((Sales[[#This Row],[Mdl Land Intercept]]+Sales[[#This Row],[Mdl LnAcres]])*Sales[[#This Row],[Det/Nbhd Adj]],-2)</f>
        <v>45700</v>
      </c>
      <c r="DA111">
        <f>Sales[[#This Row],[Adjusted Impr Total]]+Sales[[#This Row],[Adjusted Land Total]]</f>
        <v>417700</v>
      </c>
      <c r="DB111">
        <f>IFERROR((Sales[[#This Row],[Adjusted Impr Total]]-Sales[[#This Row],[24Bldg]])/Sales[[#This Row],[24Bldg]],0)</f>
        <v>0.10484110484110484</v>
      </c>
      <c r="DC111">
        <f>(Sales[[#This Row],[Adjusted Land Total]]-Sales[[#This Row],[24Lnd]])/Sales[[#This Row],[24Lnd]]</f>
        <v>-0.38657718120805368</v>
      </c>
      <c r="DD111">
        <f>(Sales[[#This Row],[Adjusted Total]]-Sales[[#This Row],[24Final]])/Sales[[#This Row],[24Final]]</f>
        <v>1.5807392996108949E-2</v>
      </c>
      <c r="DE111">
        <f>(Sales[[#This Row],[Adjusted Total]]+Sales[[#This Row],[Days Prior Total]])/Sales[[#This Row],[Price]]</f>
        <v>0.90392692984810119</v>
      </c>
    </row>
    <row r="112" spans="1:109" x14ac:dyDescent="0.3">
      <c r="A112">
        <v>2025</v>
      </c>
      <c r="B112">
        <v>18131532447</v>
      </c>
      <c r="C112">
        <v>-1.5606477482646683</v>
      </c>
      <c r="D112">
        <v>0.21</v>
      </c>
      <c r="E112">
        <v>9068</v>
      </c>
      <c r="F112">
        <v>5</v>
      </c>
      <c r="G112" t="s">
        <v>89</v>
      </c>
      <c r="H112">
        <v>3041</v>
      </c>
      <c r="I112" t="s">
        <v>302</v>
      </c>
      <c r="J112" t="s">
        <v>26</v>
      </c>
      <c r="K112">
        <v>11</v>
      </c>
      <c r="L112">
        <v>259</v>
      </c>
      <c r="M112" t="s">
        <v>4</v>
      </c>
      <c r="N112" t="s">
        <v>111</v>
      </c>
      <c r="O112" t="s">
        <v>231</v>
      </c>
      <c r="P112">
        <v>1975</v>
      </c>
      <c r="Q112">
        <v>1979</v>
      </c>
      <c r="R112">
        <v>50</v>
      </c>
      <c r="S112">
        <v>49</v>
      </c>
      <c r="T112">
        <v>45</v>
      </c>
      <c r="U112">
        <v>1</v>
      </c>
      <c r="V112">
        <v>1132</v>
      </c>
      <c r="W112">
        <v>0</v>
      </c>
      <c r="X112">
        <v>0</v>
      </c>
      <c r="Y112">
        <v>1056</v>
      </c>
      <c r="Z112">
        <v>1056</v>
      </c>
      <c r="AA112">
        <v>0</v>
      </c>
      <c r="AB112">
        <v>2188</v>
      </c>
      <c r="AC112">
        <v>2500</v>
      </c>
      <c r="AD112">
        <v>2</v>
      </c>
      <c r="AE112" t="s">
        <v>5</v>
      </c>
      <c r="AF112" t="s">
        <v>153</v>
      </c>
      <c r="AG112" t="s">
        <v>274</v>
      </c>
      <c r="AI112">
        <v>0</v>
      </c>
      <c r="AJ112">
        <v>2</v>
      </c>
      <c r="AK112">
        <v>0</v>
      </c>
      <c r="AL112">
        <v>1</v>
      </c>
      <c r="AM112">
        <v>0</v>
      </c>
      <c r="AN112">
        <v>9</v>
      </c>
      <c r="AO112">
        <v>576</v>
      </c>
      <c r="AP112">
        <v>0</v>
      </c>
      <c r="AQ112">
        <v>576</v>
      </c>
      <c r="AR112">
        <v>0</v>
      </c>
      <c r="AS112">
        <v>160</v>
      </c>
      <c r="AT112">
        <v>0</v>
      </c>
      <c r="AU112">
        <v>0</v>
      </c>
      <c r="AV112">
        <v>100</v>
      </c>
      <c r="AW112">
        <v>100</v>
      </c>
      <c r="AX112">
        <v>390396</v>
      </c>
      <c r="AY112">
        <v>304509</v>
      </c>
      <c r="AZ112">
        <v>805</v>
      </c>
      <c r="BA112">
        <v>365</v>
      </c>
      <c r="BB112">
        <v>365</v>
      </c>
      <c r="BC112">
        <v>75</v>
      </c>
      <c r="BD112" s="6">
        <v>44487</v>
      </c>
      <c r="BE112" t="s">
        <v>303</v>
      </c>
      <c r="BF112">
        <v>372000</v>
      </c>
      <c r="BG112">
        <v>372000</v>
      </c>
      <c r="BH112" t="s">
        <v>198</v>
      </c>
      <c r="BI112">
        <v>30</v>
      </c>
      <c r="BJ112" t="s">
        <v>51</v>
      </c>
      <c r="BK112" t="s">
        <v>314</v>
      </c>
      <c r="BL112">
        <v>366600</v>
      </c>
      <c r="BM112">
        <v>71900</v>
      </c>
      <c r="BN112">
        <v>294700</v>
      </c>
      <c r="BO112">
        <v>0</v>
      </c>
      <c r="BP112">
        <v>0.98548387096774193</v>
      </c>
      <c r="BQ112">
        <v>363483.27395469532</v>
      </c>
      <c r="BR112">
        <v>409628.58473708591</v>
      </c>
      <c r="BS112" s="7">
        <f>(BR112-BL112)/BL112</f>
        <v>0.1173720260149643</v>
      </c>
      <c r="BT112" s="14">
        <f>(Sales[[#This Row],[DP1]]*Lookups!$B$51)+(Sales[[#This Row],[DP2]]*Lookups!$B$52)+(Sales[[#This Row],[DP3]]*Lookups!$B$53)</f>
        <v>-46145.32071</v>
      </c>
      <c r="BU112" s="14">
        <f>Lookups!$B$48*0.5</f>
        <v>87214.824999999997</v>
      </c>
      <c r="BV112" s="14">
        <f>Lookups!$B$48*0.5</f>
        <v>87214.824999999997</v>
      </c>
      <c r="BW112" s="14">
        <f>Lookups!$B$49*Sales[[#This Row],[LnAcres]]</f>
        <v>-39059.651503814886</v>
      </c>
      <c r="BX112" s="14">
        <f>VLOOKUP(Sales[[#This Row],[Qlty]],Lookups!$A$54:$E$67,2,FALSE)</f>
        <v>-14329.694740000001</v>
      </c>
      <c r="BY112" s="14">
        <f>VLOOKUP(Sales[[#This Row],[Cnd]],Lookups!$A$68:$E$76,2,FALSE)</f>
        <v>0</v>
      </c>
      <c r="BZ112" s="14">
        <f>Sales[[#This Row],[Age]]*Lookups!$B$77</f>
        <v>9041.1090700000004</v>
      </c>
      <c r="CA112" s="14">
        <f>Sales[[#This Row],[MainFn]]*Lookups!$B$78</f>
        <v>78202.475588000001</v>
      </c>
      <c r="CB112" s="14">
        <f>Sales[[#This Row],[UpprFn]]*Lookups!$B$79</f>
        <v>0</v>
      </c>
      <c r="CC112" s="14">
        <f>Sales[[#This Row],[AddFn]]*Lookups!$B$80</f>
        <v>0</v>
      </c>
      <c r="CD112" s="14">
        <f>Sales[[#This Row],[Bsmt]]*Lookups!$B$81</f>
        <v>30210.742847999998</v>
      </c>
      <c r="CE112" s="14">
        <f>Sales[[#This Row],[Fixtures]]*Lookups!$B$84</f>
        <v>91395.900000000009</v>
      </c>
      <c r="CF112" s="14">
        <f>Sales[[#This Row],[MsnryFP]]*Lookups!$B$82</f>
        <v>50547.245999999999</v>
      </c>
      <c r="CG112" s="14">
        <f>Sales[[#This Row],[PrefabFP]]*Lookups!$B$83</f>
        <v>0</v>
      </c>
      <c r="CH112" s="14">
        <f>Sales[[#This Row],[GarageArea]]*Lookups!$B$85</f>
        <v>29190.814272</v>
      </c>
      <c r="CI112" s="14">
        <f>SUM(Sales[[#This Row],[Days Prior Total]:[Mdl GarageArea]])</f>
        <v>363483.27082418511</v>
      </c>
      <c r="CJ112" s="14">
        <f>ROUND(Sales[[#This Row],[25Det]],-2)</f>
        <v>0</v>
      </c>
      <c r="CK112" s="14">
        <f>ROUND(SUM(Sales[[#This Row],[Mdl Qlty]:[Mdl GarageArea]])+Sales[[#This Row],[Mdl Res Intercept]]+Sales[[#This Row],[Days Prior Total]],-2)</f>
        <v>315300</v>
      </c>
      <c r="CL112" s="14">
        <f>ROUND(Sales[[#This Row],[Mdl Land Intercept]]+Sales[[#This Row],[Mdl LnAcres]],-2)</f>
        <v>48200</v>
      </c>
      <c r="CM112" s="14">
        <f>Sales[[#This Row],[Unadj Res Value]]+Sales[[#This Row],[Unadj Det Value]]+Sales[[#This Row],[Unadj Land Value]]</f>
        <v>363500</v>
      </c>
      <c r="CN112" s="15">
        <f>Sales[[#This Row],[Unadj Total Value]]/Sales[[#This Row],[Price]]</f>
        <v>0.97715053763440862</v>
      </c>
      <c r="CO112" s="15">
        <f>(Sales[[#This Row],[Unadj Total Value]]-Sales[[#This Row],[24Final]])/Sales[[#This Row],[24Final]]</f>
        <v>-8.4560829241680305E-3</v>
      </c>
      <c r="CP112">
        <f>VLOOKUP(Sales[[#This Row],[TNbhd]],Lookups!$M$2:$P$4,4,FALSE)</f>
        <v>0.97570000000000001</v>
      </c>
      <c r="CQ112">
        <f>VLOOKUP(Sales[[#This Row],[Qlty]],Lookups!$M$6:$P$20,4,FALSE)</f>
        <v>0.98809999999999998</v>
      </c>
      <c r="CR112">
        <f>VLOOKUP(Sales[[#This Row],[Cnd]],Lookups!$R$6:$U$15,4,FALSE)</f>
        <v>0.9677</v>
      </c>
      <c r="CS112">
        <f>VLOOKUP(Sales[[#This Row],[LivArea Range]],Lookups!$R$23:$U$39,4,FALSE)</f>
        <v>0.93440000000000001</v>
      </c>
      <c r="CT112">
        <f>VLOOKUP(Sales[[#This Row],[Decade]],Lookups!$M$23:$P$35,4,FALSE)</f>
        <v>1.0153000000000001</v>
      </c>
      <c r="CU112">
        <f>Sales[[#This Row],[Nbhd Adj]]*0.95</f>
        <v>0.92691499999999993</v>
      </c>
      <c r="CV112">
        <f>Sales[[#This Row],[Nbhd Adj]]*Sales[[#This Row],[Quality Adj]]*Sales[[#This Row],[Condition Adj]]*Sales[[#This Row],[Living Area Adj]]*Sales[[#This Row],[Decade Adj]]*0.95</f>
        <v>0.84083109983669047</v>
      </c>
      <c r="CW112">
        <f>ROUND(SUM(Sales[[#This Row],[Mdl Qlty]:[Mdl GarageArea]])+Sales[[#This Row],[Mdl Res Intercept]]*Sales[[#This Row],[Res Adj ]],-2)</f>
        <v>347600</v>
      </c>
      <c r="CX112">
        <f>ROUND(Sales[[#This Row],[25Det]]*Sales[[#This Row],[Det/Nbhd Adj]],-2)</f>
        <v>0</v>
      </c>
      <c r="CY112">
        <f>Sales[[#This Row],[Adjusted Res]]+Sales[[#This Row],[Adj Det ]]</f>
        <v>347600</v>
      </c>
      <c r="CZ112">
        <f>ROUND((Sales[[#This Row],[Mdl Land Intercept]]+Sales[[#This Row],[Mdl LnAcres]])*Sales[[#This Row],[Det/Nbhd Adj]],-2)</f>
        <v>44600</v>
      </c>
      <c r="DA112">
        <f>Sales[[#This Row],[Adjusted Impr Total]]+Sales[[#This Row],[Adjusted Land Total]]</f>
        <v>392200</v>
      </c>
      <c r="DB112">
        <f>IFERROR((Sales[[#This Row],[Adjusted Impr Total]]-Sales[[#This Row],[24Bldg]])/Sales[[#This Row],[24Bldg]],0)</f>
        <v>0.17950458092975907</v>
      </c>
      <c r="DC112">
        <f>(Sales[[#This Row],[Adjusted Land Total]]-Sales[[#This Row],[24Lnd]])/Sales[[#This Row],[24Lnd]]</f>
        <v>-0.37969401947148818</v>
      </c>
      <c r="DD112">
        <f>(Sales[[#This Row],[Adjusted Total]]-Sales[[#This Row],[24Final]])/Sales[[#This Row],[24Final]]</f>
        <v>6.9830878341516633E-2</v>
      </c>
      <c r="DE112">
        <f>(Sales[[#This Row],[Adjusted Total]]+Sales[[#This Row],[Days Prior Total]])/Sales[[#This Row],[Price]]</f>
        <v>0.93025451422043015</v>
      </c>
    </row>
    <row r="113" spans="1:109" x14ac:dyDescent="0.3">
      <c r="A113">
        <v>2025</v>
      </c>
      <c r="B113">
        <v>18131532416</v>
      </c>
      <c r="C113">
        <v>-1.6094379124341003</v>
      </c>
      <c r="D113">
        <v>0.2</v>
      </c>
      <c r="E113">
        <v>8913</v>
      </c>
      <c r="F113">
        <v>5</v>
      </c>
      <c r="G113" t="s">
        <v>89</v>
      </c>
      <c r="H113">
        <v>3041</v>
      </c>
      <c r="I113" t="s">
        <v>302</v>
      </c>
      <c r="J113" t="s">
        <v>26</v>
      </c>
      <c r="K113">
        <v>11</v>
      </c>
      <c r="L113">
        <v>259</v>
      </c>
      <c r="M113" t="s">
        <v>172</v>
      </c>
      <c r="N113" t="s">
        <v>111</v>
      </c>
      <c r="O113" t="s">
        <v>231</v>
      </c>
      <c r="P113">
        <v>1975</v>
      </c>
      <c r="Q113">
        <v>1979</v>
      </c>
      <c r="R113">
        <v>50</v>
      </c>
      <c r="S113">
        <v>49</v>
      </c>
      <c r="T113">
        <v>45</v>
      </c>
      <c r="U113">
        <v>1</v>
      </c>
      <c r="V113">
        <v>2198</v>
      </c>
      <c r="W113">
        <v>0</v>
      </c>
      <c r="X113">
        <v>0</v>
      </c>
      <c r="Y113">
        <v>1098</v>
      </c>
      <c r="Z113">
        <v>930</v>
      </c>
      <c r="AA113">
        <v>168</v>
      </c>
      <c r="AB113">
        <v>3128</v>
      </c>
      <c r="AC113">
        <v>3500</v>
      </c>
      <c r="AD113">
        <v>2</v>
      </c>
      <c r="AE113" t="s">
        <v>5</v>
      </c>
      <c r="AF113" t="s">
        <v>275</v>
      </c>
      <c r="AG113" t="s">
        <v>274</v>
      </c>
      <c r="AH113" t="s">
        <v>314</v>
      </c>
      <c r="AI113">
        <v>0</v>
      </c>
      <c r="AJ113">
        <v>1</v>
      </c>
      <c r="AK113">
        <v>0</v>
      </c>
      <c r="AL113">
        <v>0</v>
      </c>
      <c r="AM113">
        <v>1</v>
      </c>
      <c r="AN113">
        <v>10</v>
      </c>
      <c r="AO113">
        <v>0</v>
      </c>
      <c r="AP113">
        <v>1100</v>
      </c>
      <c r="AQ113">
        <v>1100</v>
      </c>
      <c r="AR113">
        <v>0</v>
      </c>
      <c r="AS113">
        <v>0</v>
      </c>
      <c r="AT113">
        <v>0</v>
      </c>
      <c r="AU113">
        <v>100</v>
      </c>
      <c r="AV113">
        <v>100</v>
      </c>
      <c r="AW113">
        <v>100</v>
      </c>
      <c r="AX113">
        <v>539777</v>
      </c>
      <c r="AY113">
        <v>421026</v>
      </c>
      <c r="AZ113">
        <v>524</v>
      </c>
      <c r="BA113">
        <v>365</v>
      </c>
      <c r="BB113">
        <v>159</v>
      </c>
      <c r="BC113">
        <v>0</v>
      </c>
      <c r="BD113" s="6">
        <v>44768</v>
      </c>
      <c r="BE113" t="s">
        <v>55</v>
      </c>
      <c r="BF113">
        <v>300000</v>
      </c>
      <c r="BG113">
        <v>300000</v>
      </c>
      <c r="BH113" t="s">
        <v>198</v>
      </c>
      <c r="BI113">
        <v>30</v>
      </c>
      <c r="BJ113" t="s">
        <v>51</v>
      </c>
      <c r="BK113" t="s">
        <v>314</v>
      </c>
      <c r="BL113">
        <v>433400</v>
      </c>
      <c r="BM113">
        <v>69100</v>
      </c>
      <c r="BN113">
        <v>364300</v>
      </c>
      <c r="BO113">
        <v>0</v>
      </c>
      <c r="BP113">
        <v>1.4446666666666668</v>
      </c>
      <c r="BQ113">
        <v>452087.87794524175</v>
      </c>
      <c r="BR113">
        <v>494689.01155191206</v>
      </c>
      <c r="BS113" s="7">
        <f>(BR113-BL113)/BL113</f>
        <v>0.14141442443911412</v>
      </c>
      <c r="BT113" s="14">
        <f>(Sales[[#This Row],[DP1]]*Lookups!$B$51)+(Sales[[#This Row],[DP2]]*Lookups!$B$52)+(Sales[[#This Row],[DP3]]*Lookups!$B$53)</f>
        <v>-42601.147186000002</v>
      </c>
      <c r="BU113" s="14">
        <f>Lookups!$B$48*0.5</f>
        <v>87214.824999999997</v>
      </c>
      <c r="BV113" s="14">
        <f>Lookups!$B$48*0.5</f>
        <v>87214.824999999997</v>
      </c>
      <c r="BW113" s="14">
        <f>Lookups!$B$49*Sales[[#This Row],[LnAcres]]</f>
        <v>-40280.764218962147</v>
      </c>
      <c r="BX113" s="14">
        <f>VLOOKUP(Sales[[#This Row],[Qlty]],Lookups!$A$54:$E$67,2,FALSE)</f>
        <v>-14329.694740000001</v>
      </c>
      <c r="BY113" s="14">
        <f>VLOOKUP(Sales[[#This Row],[Cnd]],Lookups!$A$68:$E$76,2,FALSE)</f>
        <v>0</v>
      </c>
      <c r="BZ113" s="14">
        <f>Sales[[#This Row],[Age]]*Lookups!$B$77</f>
        <v>9041.1090700000004</v>
      </c>
      <c r="CA113" s="14">
        <f>Sales[[#This Row],[MainFn]]*Lookups!$B$78</f>
        <v>151845.442882</v>
      </c>
      <c r="CB113" s="14">
        <f>Sales[[#This Row],[UpprFn]]*Lookups!$B$79</f>
        <v>0</v>
      </c>
      <c r="CC113" s="14">
        <f>Sales[[#This Row],[AddFn]]*Lookups!$B$80</f>
        <v>0</v>
      </c>
      <c r="CD113" s="14">
        <f>Sales[[#This Row],[Bsmt]]*Lookups!$B$81</f>
        <v>31412.306483999997</v>
      </c>
      <c r="CE113" s="14">
        <f>Sales[[#This Row],[Fixtures]]*Lookups!$B$84</f>
        <v>101551</v>
      </c>
      <c r="CF113" s="14">
        <f>Sales[[#This Row],[MsnryFP]]*Lookups!$B$82</f>
        <v>25273.623</v>
      </c>
      <c r="CG113" s="14">
        <f>Sales[[#This Row],[PrefabFP]]*Lookups!$B$83</f>
        <v>0</v>
      </c>
      <c r="CH113" s="14">
        <f>Sales[[#This Row],[GarageArea]]*Lookups!$B$85</f>
        <v>55746.346700000002</v>
      </c>
      <c r="CI113" s="14">
        <f>SUM(Sales[[#This Row],[Days Prior Total]:[Mdl GarageArea]])</f>
        <v>452087.87199103786</v>
      </c>
      <c r="CJ113" s="14">
        <f>ROUND(Sales[[#This Row],[25Det]],-2)</f>
        <v>0</v>
      </c>
      <c r="CK113" s="14">
        <f>ROUND(SUM(Sales[[#This Row],[Mdl Qlty]:[Mdl GarageArea]])+Sales[[#This Row],[Mdl Res Intercept]]+Sales[[#This Row],[Days Prior Total]],-2)</f>
        <v>405200</v>
      </c>
      <c r="CL113" s="14">
        <f>ROUND(Sales[[#This Row],[Mdl Land Intercept]]+Sales[[#This Row],[Mdl LnAcres]],-2)</f>
        <v>46900</v>
      </c>
      <c r="CM113" s="14">
        <f>Sales[[#This Row],[Unadj Res Value]]+Sales[[#This Row],[Unadj Det Value]]+Sales[[#This Row],[Unadj Land Value]]</f>
        <v>452100</v>
      </c>
      <c r="CN113" s="15">
        <f>Sales[[#This Row],[Unadj Total Value]]/Sales[[#This Row],[Price]]</f>
        <v>1.5069999999999999</v>
      </c>
      <c r="CO113" s="15">
        <f>(Sales[[#This Row],[Unadj Total Value]]-Sales[[#This Row],[24Final]])/Sales[[#This Row],[24Final]]</f>
        <v>4.3147208121827409E-2</v>
      </c>
      <c r="CP113">
        <f>VLOOKUP(Sales[[#This Row],[TNbhd]],Lookups!$M$2:$P$4,4,FALSE)</f>
        <v>0.97570000000000001</v>
      </c>
      <c r="CQ113">
        <f>VLOOKUP(Sales[[#This Row],[Qlty]],Lookups!$M$6:$P$20,4,FALSE)</f>
        <v>0.98809999999999998</v>
      </c>
      <c r="CR113">
        <f>VLOOKUP(Sales[[#This Row],[Cnd]],Lookups!$R$6:$U$15,4,FALSE)</f>
        <v>0.9677</v>
      </c>
      <c r="CS113">
        <f>VLOOKUP(Sales[[#This Row],[LivArea Range]],Lookups!$R$23:$U$39,4,FALSE)</f>
        <v>0.99619999999999997</v>
      </c>
      <c r="CT113">
        <f>VLOOKUP(Sales[[#This Row],[Decade]],Lookups!$M$23:$P$35,4,FALSE)</f>
        <v>1.0153000000000001</v>
      </c>
      <c r="CU113">
        <f>Sales[[#This Row],[Nbhd Adj]]*0.95</f>
        <v>0.92691499999999993</v>
      </c>
      <c r="CV113">
        <f>Sales[[#This Row],[Nbhd Adj]]*Sales[[#This Row],[Quality Adj]]*Sales[[#This Row],[Condition Adj]]*Sales[[#This Row],[Living Area Adj]]*Sales[[#This Row],[Decade Adj]]*0.95</f>
        <v>0.89644257454763587</v>
      </c>
      <c r="CW113">
        <f>ROUND(SUM(Sales[[#This Row],[Mdl Qlty]:[Mdl GarageArea]])+Sales[[#This Row],[Mdl Res Intercept]]*Sales[[#This Row],[Res Adj ]],-2)</f>
        <v>438700</v>
      </c>
      <c r="CX113">
        <f>ROUND(Sales[[#This Row],[25Det]]*Sales[[#This Row],[Det/Nbhd Adj]],-2)</f>
        <v>0</v>
      </c>
      <c r="CY113">
        <f>Sales[[#This Row],[Adjusted Res]]+Sales[[#This Row],[Adj Det ]]</f>
        <v>438700</v>
      </c>
      <c r="CZ113">
        <f>ROUND((Sales[[#This Row],[Mdl Land Intercept]]+Sales[[#This Row],[Mdl LnAcres]])*Sales[[#This Row],[Det/Nbhd Adj]],-2)</f>
        <v>43500</v>
      </c>
      <c r="DA113">
        <f>Sales[[#This Row],[Adjusted Impr Total]]+Sales[[#This Row],[Adjusted Land Total]]</f>
        <v>482200</v>
      </c>
      <c r="DB113">
        <f>IFERROR((Sales[[#This Row],[Adjusted Impr Total]]-Sales[[#This Row],[24Bldg]])/Sales[[#This Row],[24Bldg]],0)</f>
        <v>0.20422728520450179</v>
      </c>
      <c r="DC113">
        <f>(Sales[[#This Row],[Adjusted Land Total]]-Sales[[#This Row],[24Lnd]])/Sales[[#This Row],[24Lnd]]</f>
        <v>-0.37047756874095511</v>
      </c>
      <c r="DD113">
        <f>(Sales[[#This Row],[Adjusted Total]]-Sales[[#This Row],[24Final]])/Sales[[#This Row],[24Final]]</f>
        <v>0.11259806183664052</v>
      </c>
      <c r="DE113">
        <f>(Sales[[#This Row],[Adjusted Total]]+Sales[[#This Row],[Days Prior Total]])/Sales[[#This Row],[Price]]</f>
        <v>1.4653295093799998</v>
      </c>
    </row>
    <row r="114" spans="1:109" x14ac:dyDescent="0.3">
      <c r="A114">
        <v>2025</v>
      </c>
      <c r="B114">
        <v>18131532508</v>
      </c>
      <c r="C114">
        <v>-1.3862943611198906</v>
      </c>
      <c r="D114">
        <v>0.25</v>
      </c>
      <c r="E114">
        <v>10899</v>
      </c>
      <c r="F114">
        <v>5</v>
      </c>
      <c r="G114" t="s">
        <v>89</v>
      </c>
      <c r="H114">
        <v>3041</v>
      </c>
      <c r="I114" t="s">
        <v>302</v>
      </c>
      <c r="J114" t="s">
        <v>26</v>
      </c>
      <c r="K114">
        <v>11</v>
      </c>
      <c r="L114">
        <v>259</v>
      </c>
      <c r="M114" t="s">
        <v>172</v>
      </c>
      <c r="N114" t="s">
        <v>111</v>
      </c>
      <c r="O114" t="s">
        <v>207</v>
      </c>
      <c r="P114">
        <v>1975</v>
      </c>
      <c r="Q114">
        <v>1979</v>
      </c>
      <c r="R114">
        <v>50</v>
      </c>
      <c r="S114">
        <v>49</v>
      </c>
      <c r="T114">
        <v>45</v>
      </c>
      <c r="U114">
        <v>1</v>
      </c>
      <c r="V114">
        <v>1376</v>
      </c>
      <c r="W114">
        <v>0</v>
      </c>
      <c r="X114">
        <v>0</v>
      </c>
      <c r="Y114">
        <v>672</v>
      </c>
      <c r="Z114">
        <v>672</v>
      </c>
      <c r="AA114">
        <v>0</v>
      </c>
      <c r="AB114">
        <v>2048</v>
      </c>
      <c r="AC114">
        <v>2500</v>
      </c>
      <c r="AD114">
        <v>2</v>
      </c>
      <c r="AE114" t="s">
        <v>5</v>
      </c>
      <c r="AF114" t="s">
        <v>275</v>
      </c>
      <c r="AG114" t="s">
        <v>111</v>
      </c>
      <c r="AH114" t="s">
        <v>314</v>
      </c>
      <c r="AI114">
        <v>0</v>
      </c>
      <c r="AJ114">
        <v>2</v>
      </c>
      <c r="AK114">
        <v>0</v>
      </c>
      <c r="AL114">
        <v>2</v>
      </c>
      <c r="AM114">
        <v>0</v>
      </c>
      <c r="AN114">
        <v>11</v>
      </c>
      <c r="AO114">
        <v>616</v>
      </c>
      <c r="AP114">
        <v>0</v>
      </c>
      <c r="AQ114">
        <v>616</v>
      </c>
      <c r="AR114">
        <v>0</v>
      </c>
      <c r="AS114">
        <v>525</v>
      </c>
      <c r="AT114">
        <v>192</v>
      </c>
      <c r="AU114">
        <v>0</v>
      </c>
      <c r="AV114">
        <v>100</v>
      </c>
      <c r="AW114">
        <v>100</v>
      </c>
      <c r="AX114">
        <v>395963</v>
      </c>
      <c r="AY114">
        <v>332609</v>
      </c>
      <c r="AZ114">
        <v>188</v>
      </c>
      <c r="BA114">
        <v>188</v>
      </c>
      <c r="BB114">
        <v>0</v>
      </c>
      <c r="BC114">
        <v>0</v>
      </c>
      <c r="BD114" s="6">
        <v>45104</v>
      </c>
      <c r="BE114" t="s">
        <v>137</v>
      </c>
      <c r="BF114">
        <v>479000</v>
      </c>
      <c r="BG114">
        <v>479000</v>
      </c>
      <c r="BH114" t="s">
        <v>198</v>
      </c>
      <c r="BI114">
        <v>30</v>
      </c>
      <c r="BJ114" t="s">
        <v>51</v>
      </c>
      <c r="BK114" t="s">
        <v>314</v>
      </c>
      <c r="BL114">
        <v>460800</v>
      </c>
      <c r="BM114">
        <v>81800</v>
      </c>
      <c r="BN114">
        <v>379000</v>
      </c>
      <c r="BO114">
        <v>0</v>
      </c>
      <c r="BP114">
        <v>0.96200417536534444</v>
      </c>
      <c r="BQ114">
        <v>459739.70070484647</v>
      </c>
      <c r="BR114">
        <v>489474.1496966391</v>
      </c>
      <c r="BS114" s="7">
        <f>(BR114-BL114)/BL114</f>
        <v>6.2226887362498047E-2</v>
      </c>
      <c r="BT114" s="14">
        <f>(Sales[[#This Row],[DP1]]*Lookups!$B$51)+(Sales[[#This Row],[DP2]]*Lookups!$B$52)+(Sales[[#This Row],[DP3]]*Lookups!$B$53)</f>
        <v>-29734.456000000002</v>
      </c>
      <c r="BU114" s="14">
        <f>Lookups!$B$48*0.5</f>
        <v>87214.824999999997</v>
      </c>
      <c r="BV114" s="14">
        <f>Lookups!$B$48*0.5</f>
        <v>87214.824999999997</v>
      </c>
      <c r="BW114" s="14">
        <f>Lookups!$B$49*Sales[[#This Row],[LnAcres]]</f>
        <v>-34695.961780777012</v>
      </c>
      <c r="BX114" s="14">
        <f>VLOOKUP(Sales[[#This Row],[Qlty]],Lookups!$A$54:$E$67,2,FALSE)</f>
        <v>-14329.694740000001</v>
      </c>
      <c r="BY114" s="14">
        <f>VLOOKUP(Sales[[#This Row],[Cnd]],Lookups!$A$68:$E$76,2,FALSE)</f>
        <v>47273.897095</v>
      </c>
      <c r="BZ114" s="14">
        <f>Sales[[#This Row],[Age]]*Lookups!$B$77</f>
        <v>9041.1090700000004</v>
      </c>
      <c r="CA114" s="14">
        <f>Sales[[#This Row],[MainFn]]*Lookups!$B$78</f>
        <v>95058.839584000001</v>
      </c>
      <c r="CB114" s="14">
        <f>Sales[[#This Row],[UpprFn]]*Lookups!$B$79</f>
        <v>0</v>
      </c>
      <c r="CC114" s="14">
        <f>Sales[[#This Row],[AddFn]]*Lookups!$B$80</f>
        <v>0</v>
      </c>
      <c r="CD114" s="14">
        <f>Sales[[#This Row],[Bsmt]]*Lookups!$B$81</f>
        <v>19225.018175999998</v>
      </c>
      <c r="CE114" s="14">
        <f>Sales[[#This Row],[Fixtures]]*Lookups!$B$84</f>
        <v>111706.1</v>
      </c>
      <c r="CF114" s="14">
        <f>Sales[[#This Row],[MsnryFP]]*Lookups!$B$82</f>
        <v>50547.245999999999</v>
      </c>
      <c r="CG114" s="14">
        <f>Sales[[#This Row],[PrefabFP]]*Lookups!$B$83</f>
        <v>0</v>
      </c>
      <c r="CH114" s="14">
        <f>Sales[[#This Row],[GarageArea]]*Lookups!$B$85</f>
        <v>31217.954151999998</v>
      </c>
      <c r="CI114" s="14">
        <f>SUM(Sales[[#This Row],[Days Prior Total]:[Mdl GarageArea]])</f>
        <v>459739.70155622304</v>
      </c>
      <c r="CJ114" s="14">
        <f>ROUND(Sales[[#This Row],[25Det]],-2)</f>
        <v>0</v>
      </c>
      <c r="CK114" s="14">
        <f>ROUND(SUM(Sales[[#This Row],[Mdl Qlty]:[Mdl GarageArea]])+Sales[[#This Row],[Mdl Res Intercept]]+Sales[[#This Row],[Days Prior Total]],-2)</f>
        <v>407200</v>
      </c>
      <c r="CL114" s="14">
        <f>ROUND(Sales[[#This Row],[Mdl Land Intercept]]+Sales[[#This Row],[Mdl LnAcres]],-2)</f>
        <v>52500</v>
      </c>
      <c r="CM114" s="14">
        <f>Sales[[#This Row],[Unadj Res Value]]+Sales[[#This Row],[Unadj Det Value]]+Sales[[#This Row],[Unadj Land Value]]</f>
        <v>459700</v>
      </c>
      <c r="CN114" s="15">
        <f>Sales[[#This Row],[Unadj Total Value]]/Sales[[#This Row],[Price]]</f>
        <v>0.95970772442588725</v>
      </c>
      <c r="CO114" s="15">
        <f>(Sales[[#This Row],[Unadj Total Value]]-Sales[[#This Row],[24Final]])/Sales[[#This Row],[24Final]]</f>
        <v>-2.387152777777778E-3</v>
      </c>
      <c r="CP114">
        <f>VLOOKUP(Sales[[#This Row],[TNbhd]],Lookups!$M$2:$P$4,4,FALSE)</f>
        <v>0.97570000000000001</v>
      </c>
      <c r="CQ114">
        <f>VLOOKUP(Sales[[#This Row],[Qlty]],Lookups!$M$6:$P$20,4,FALSE)</f>
        <v>0.98809999999999998</v>
      </c>
      <c r="CR114">
        <f>VLOOKUP(Sales[[#This Row],[Cnd]],Lookups!$R$6:$U$15,4,FALSE)</f>
        <v>0.97829999999999995</v>
      </c>
      <c r="CS114">
        <f>VLOOKUP(Sales[[#This Row],[LivArea Range]],Lookups!$R$23:$U$39,4,FALSE)</f>
        <v>0.93440000000000001</v>
      </c>
      <c r="CT114">
        <f>VLOOKUP(Sales[[#This Row],[Decade]],Lookups!$M$23:$P$35,4,FALSE)</f>
        <v>1.0153000000000001</v>
      </c>
      <c r="CU114">
        <f>Sales[[#This Row],[Nbhd Adj]]*0.95</f>
        <v>0.92691499999999993</v>
      </c>
      <c r="CV114">
        <f>Sales[[#This Row],[Nbhd Adj]]*Sales[[#This Row],[Quality Adj]]*Sales[[#This Row],[Condition Adj]]*Sales[[#This Row],[Living Area Adj]]*Sales[[#This Row],[Decade Adj]]*0.95</f>
        <v>0.85004140226334002</v>
      </c>
      <c r="CW114">
        <f>ROUND(SUM(Sales[[#This Row],[Mdl Qlty]:[Mdl GarageArea]])+Sales[[#This Row],[Mdl Res Intercept]]*Sales[[#This Row],[Res Adj ]],-2)</f>
        <v>423900</v>
      </c>
      <c r="CX114">
        <f>ROUND(Sales[[#This Row],[25Det]]*Sales[[#This Row],[Det/Nbhd Adj]],-2)</f>
        <v>0</v>
      </c>
      <c r="CY114">
        <f>Sales[[#This Row],[Adjusted Res]]+Sales[[#This Row],[Adj Det ]]</f>
        <v>423900</v>
      </c>
      <c r="CZ114">
        <f>ROUND((Sales[[#This Row],[Mdl Land Intercept]]+Sales[[#This Row],[Mdl LnAcres]])*Sales[[#This Row],[Det/Nbhd Adj]],-2)</f>
        <v>48700</v>
      </c>
      <c r="DA114">
        <f>Sales[[#This Row],[Adjusted Impr Total]]+Sales[[#This Row],[Adjusted Land Total]]</f>
        <v>472600</v>
      </c>
      <c r="DB114">
        <f>IFERROR((Sales[[#This Row],[Adjusted Impr Total]]-Sales[[#This Row],[24Bldg]])/Sales[[#This Row],[24Bldg]],0)</f>
        <v>0.11846965699208444</v>
      </c>
      <c r="DC114">
        <f>(Sales[[#This Row],[Adjusted Land Total]]-Sales[[#This Row],[24Lnd]])/Sales[[#This Row],[24Lnd]]</f>
        <v>-0.40464547677261614</v>
      </c>
      <c r="DD114">
        <f>(Sales[[#This Row],[Adjusted Total]]-Sales[[#This Row],[24Final]])/Sales[[#This Row],[24Final]]</f>
        <v>2.5607638888888888E-2</v>
      </c>
      <c r="DE114">
        <f>(Sales[[#This Row],[Adjusted Total]]+Sales[[#This Row],[Days Prior Total]])/Sales[[#This Row],[Price]]</f>
        <v>0.92456272233820458</v>
      </c>
    </row>
    <row r="115" spans="1:109" x14ac:dyDescent="0.3">
      <c r="A115">
        <v>2025</v>
      </c>
      <c r="B115">
        <v>18131532508</v>
      </c>
      <c r="C115">
        <v>-1.3862943611198906</v>
      </c>
      <c r="D115">
        <v>0.25</v>
      </c>
      <c r="E115">
        <v>10899</v>
      </c>
      <c r="F115">
        <v>5</v>
      </c>
      <c r="G115" t="s">
        <v>89</v>
      </c>
      <c r="H115">
        <v>3041</v>
      </c>
      <c r="I115" t="s">
        <v>302</v>
      </c>
      <c r="J115" t="s">
        <v>26</v>
      </c>
      <c r="K115">
        <v>11</v>
      </c>
      <c r="L115">
        <v>259</v>
      </c>
      <c r="M115" t="s">
        <v>172</v>
      </c>
      <c r="N115" t="s">
        <v>111</v>
      </c>
      <c r="O115" t="s">
        <v>207</v>
      </c>
      <c r="P115">
        <v>1975</v>
      </c>
      <c r="Q115">
        <v>1979</v>
      </c>
      <c r="R115">
        <v>50</v>
      </c>
      <c r="S115">
        <v>49</v>
      </c>
      <c r="T115">
        <v>45</v>
      </c>
      <c r="U115">
        <v>1</v>
      </c>
      <c r="V115">
        <v>1376</v>
      </c>
      <c r="W115">
        <v>0</v>
      </c>
      <c r="X115">
        <v>0</v>
      </c>
      <c r="Y115">
        <v>672</v>
      </c>
      <c r="Z115">
        <v>672</v>
      </c>
      <c r="AA115">
        <v>0</v>
      </c>
      <c r="AB115">
        <v>2048</v>
      </c>
      <c r="AC115">
        <v>2500</v>
      </c>
      <c r="AD115">
        <v>2</v>
      </c>
      <c r="AE115" t="s">
        <v>5</v>
      </c>
      <c r="AF115" t="s">
        <v>275</v>
      </c>
      <c r="AG115" t="s">
        <v>111</v>
      </c>
      <c r="AH115" t="s">
        <v>314</v>
      </c>
      <c r="AI115">
        <v>0</v>
      </c>
      <c r="AJ115">
        <v>2</v>
      </c>
      <c r="AK115">
        <v>0</v>
      </c>
      <c r="AL115">
        <v>2</v>
      </c>
      <c r="AM115">
        <v>0</v>
      </c>
      <c r="AN115">
        <v>11</v>
      </c>
      <c r="AO115">
        <v>616</v>
      </c>
      <c r="AP115">
        <v>0</v>
      </c>
      <c r="AQ115">
        <v>616</v>
      </c>
      <c r="AR115">
        <v>0</v>
      </c>
      <c r="AS115">
        <v>525</v>
      </c>
      <c r="AT115">
        <v>192</v>
      </c>
      <c r="AU115">
        <v>0</v>
      </c>
      <c r="AV115">
        <v>100</v>
      </c>
      <c r="AW115">
        <v>100</v>
      </c>
      <c r="AX115">
        <v>395963</v>
      </c>
      <c r="AY115">
        <v>332609</v>
      </c>
      <c r="AZ115">
        <v>469</v>
      </c>
      <c r="BA115">
        <v>365</v>
      </c>
      <c r="BB115">
        <v>104</v>
      </c>
      <c r="BC115">
        <v>0</v>
      </c>
      <c r="BD115" s="6">
        <v>44823</v>
      </c>
      <c r="BE115" t="s">
        <v>118</v>
      </c>
      <c r="BF115">
        <v>410000</v>
      </c>
      <c r="BG115">
        <v>410000</v>
      </c>
      <c r="BH115" t="s">
        <v>198</v>
      </c>
      <c r="BI115">
        <v>30</v>
      </c>
      <c r="BJ115" t="s">
        <v>51</v>
      </c>
      <c r="BK115" t="s">
        <v>314</v>
      </c>
      <c r="BL115">
        <v>460800</v>
      </c>
      <c r="BM115">
        <v>81800</v>
      </c>
      <c r="BN115">
        <v>379000</v>
      </c>
      <c r="BO115">
        <v>0</v>
      </c>
      <c r="BP115">
        <v>1.1239024390243904</v>
      </c>
      <c r="BQ115">
        <v>441640.06606931891</v>
      </c>
      <c r="BR115">
        <v>489474.1496966391</v>
      </c>
      <c r="BS115" s="7">
        <f>(BR115-BL115)/BL115</f>
        <v>6.2226887362498047E-2</v>
      </c>
      <c r="BT115" s="14">
        <f>(Sales[[#This Row],[DP1]]*Lookups!$B$51)+(Sales[[#This Row],[DP2]]*Lookups!$B$52)+(Sales[[#This Row],[DP3]]*Lookups!$B$53)</f>
        <v>-47834.097216000002</v>
      </c>
      <c r="BU115" s="14">
        <f>Lookups!$B$48*0.5</f>
        <v>87214.824999999997</v>
      </c>
      <c r="BV115" s="14">
        <f>Lookups!$B$48*0.5</f>
        <v>87214.824999999997</v>
      </c>
      <c r="BW115" s="14">
        <f>Lookups!$B$49*Sales[[#This Row],[LnAcres]]</f>
        <v>-34695.961780777012</v>
      </c>
      <c r="BX115" s="14">
        <f>VLOOKUP(Sales[[#This Row],[Qlty]],Lookups!$A$54:$E$67,2,FALSE)</f>
        <v>-14329.694740000001</v>
      </c>
      <c r="BY115" s="14">
        <f>VLOOKUP(Sales[[#This Row],[Cnd]],Lookups!$A$68:$E$76,2,FALSE)</f>
        <v>47273.897095</v>
      </c>
      <c r="BZ115" s="14">
        <f>Sales[[#This Row],[Age]]*Lookups!$B$77</f>
        <v>9041.1090700000004</v>
      </c>
      <c r="CA115" s="14">
        <f>Sales[[#This Row],[MainFn]]*Lookups!$B$78</f>
        <v>95058.839584000001</v>
      </c>
      <c r="CB115" s="14">
        <f>Sales[[#This Row],[UpprFn]]*Lookups!$B$79</f>
        <v>0</v>
      </c>
      <c r="CC115" s="14">
        <f>Sales[[#This Row],[AddFn]]*Lookups!$B$80</f>
        <v>0</v>
      </c>
      <c r="CD115" s="14">
        <f>Sales[[#This Row],[Bsmt]]*Lookups!$B$81</f>
        <v>19225.018175999998</v>
      </c>
      <c r="CE115" s="14">
        <f>Sales[[#This Row],[Fixtures]]*Lookups!$B$84</f>
        <v>111706.1</v>
      </c>
      <c r="CF115" s="14">
        <f>Sales[[#This Row],[MsnryFP]]*Lookups!$B$82</f>
        <v>50547.245999999999</v>
      </c>
      <c r="CG115" s="14">
        <f>Sales[[#This Row],[PrefabFP]]*Lookups!$B$83</f>
        <v>0</v>
      </c>
      <c r="CH115" s="14">
        <f>Sales[[#This Row],[GarageArea]]*Lookups!$B$85</f>
        <v>31217.954151999998</v>
      </c>
      <c r="CI115" s="14">
        <f>SUM(Sales[[#This Row],[Days Prior Total]:[Mdl GarageArea]])</f>
        <v>441640.06034022296</v>
      </c>
      <c r="CJ115" s="14">
        <f>ROUND(Sales[[#This Row],[25Det]],-2)</f>
        <v>0</v>
      </c>
      <c r="CK115" s="14">
        <f>ROUND(SUM(Sales[[#This Row],[Mdl Qlty]:[Mdl GarageArea]])+Sales[[#This Row],[Mdl Res Intercept]]+Sales[[#This Row],[Days Prior Total]],-2)</f>
        <v>389100</v>
      </c>
      <c r="CL115" s="14">
        <f>ROUND(Sales[[#This Row],[Mdl Land Intercept]]+Sales[[#This Row],[Mdl LnAcres]],-2)</f>
        <v>52500</v>
      </c>
      <c r="CM115" s="14">
        <f>Sales[[#This Row],[Unadj Res Value]]+Sales[[#This Row],[Unadj Det Value]]+Sales[[#This Row],[Unadj Land Value]]</f>
        <v>441600</v>
      </c>
      <c r="CN115" s="15">
        <f>Sales[[#This Row],[Unadj Total Value]]/Sales[[#This Row],[Price]]</f>
        <v>1.0770731707317074</v>
      </c>
      <c r="CO115" s="15">
        <f>(Sales[[#This Row],[Unadj Total Value]]-Sales[[#This Row],[24Final]])/Sales[[#This Row],[24Final]]</f>
        <v>-4.1666666666666664E-2</v>
      </c>
      <c r="CP115">
        <f>VLOOKUP(Sales[[#This Row],[TNbhd]],Lookups!$M$2:$P$4,4,FALSE)</f>
        <v>0.97570000000000001</v>
      </c>
      <c r="CQ115">
        <f>VLOOKUP(Sales[[#This Row],[Qlty]],Lookups!$M$6:$P$20,4,FALSE)</f>
        <v>0.98809999999999998</v>
      </c>
      <c r="CR115">
        <f>VLOOKUP(Sales[[#This Row],[Cnd]],Lookups!$R$6:$U$15,4,FALSE)</f>
        <v>0.97829999999999995</v>
      </c>
      <c r="CS115">
        <f>VLOOKUP(Sales[[#This Row],[LivArea Range]],Lookups!$R$23:$U$39,4,FALSE)</f>
        <v>0.93440000000000001</v>
      </c>
      <c r="CT115">
        <f>VLOOKUP(Sales[[#This Row],[Decade]],Lookups!$M$23:$P$35,4,FALSE)</f>
        <v>1.0153000000000001</v>
      </c>
      <c r="CU115">
        <f>Sales[[#This Row],[Nbhd Adj]]*0.95</f>
        <v>0.92691499999999993</v>
      </c>
      <c r="CV115">
        <f>Sales[[#This Row],[Nbhd Adj]]*Sales[[#This Row],[Quality Adj]]*Sales[[#This Row],[Condition Adj]]*Sales[[#This Row],[Living Area Adj]]*Sales[[#This Row],[Decade Adj]]*0.95</f>
        <v>0.85004140226334002</v>
      </c>
      <c r="CW115">
        <f>ROUND(SUM(Sales[[#This Row],[Mdl Qlty]:[Mdl GarageArea]])+Sales[[#This Row],[Mdl Res Intercept]]*Sales[[#This Row],[Res Adj ]],-2)</f>
        <v>423900</v>
      </c>
      <c r="CX115">
        <f>ROUND(Sales[[#This Row],[25Det]]*Sales[[#This Row],[Det/Nbhd Adj]],-2)</f>
        <v>0</v>
      </c>
      <c r="CY115">
        <f>Sales[[#This Row],[Adjusted Res]]+Sales[[#This Row],[Adj Det ]]</f>
        <v>423900</v>
      </c>
      <c r="CZ115">
        <f>ROUND((Sales[[#This Row],[Mdl Land Intercept]]+Sales[[#This Row],[Mdl LnAcres]])*Sales[[#This Row],[Det/Nbhd Adj]],-2)</f>
        <v>48700</v>
      </c>
      <c r="DA115">
        <f>Sales[[#This Row],[Adjusted Impr Total]]+Sales[[#This Row],[Adjusted Land Total]]</f>
        <v>472600</v>
      </c>
      <c r="DB115">
        <f>IFERROR((Sales[[#This Row],[Adjusted Impr Total]]-Sales[[#This Row],[24Bldg]])/Sales[[#This Row],[24Bldg]],0)</f>
        <v>0.11846965699208444</v>
      </c>
      <c r="DC115">
        <f>(Sales[[#This Row],[Adjusted Land Total]]-Sales[[#This Row],[24Lnd]])/Sales[[#This Row],[24Lnd]]</f>
        <v>-0.40464547677261614</v>
      </c>
      <c r="DD115">
        <f>(Sales[[#This Row],[Adjusted Total]]-Sales[[#This Row],[24Final]])/Sales[[#This Row],[24Final]]</f>
        <v>2.5607638888888888E-2</v>
      </c>
      <c r="DE115">
        <f>(Sales[[#This Row],[Adjusted Total]]+Sales[[#This Row],[Days Prior Total]])/Sales[[#This Row],[Price]]</f>
        <v>1.0360143970341462</v>
      </c>
    </row>
    <row r="116" spans="1:109" x14ac:dyDescent="0.3">
      <c r="A116">
        <v>2025</v>
      </c>
      <c r="B116">
        <v>18131643433</v>
      </c>
      <c r="C116">
        <v>-0.61618613942381695</v>
      </c>
      <c r="D116">
        <v>0.54</v>
      </c>
      <c r="E116">
        <v>23372</v>
      </c>
      <c r="F116">
        <v>5</v>
      </c>
      <c r="G116" t="s">
        <v>89</v>
      </c>
      <c r="H116">
        <v>3041</v>
      </c>
      <c r="I116" t="s">
        <v>302</v>
      </c>
      <c r="J116" t="s">
        <v>26</v>
      </c>
      <c r="K116">
        <v>11</v>
      </c>
      <c r="L116">
        <v>259</v>
      </c>
      <c r="M116" t="s">
        <v>172</v>
      </c>
      <c r="N116" t="s">
        <v>111</v>
      </c>
      <c r="O116" t="s">
        <v>207</v>
      </c>
      <c r="P116">
        <v>1975</v>
      </c>
      <c r="Q116">
        <v>1979</v>
      </c>
      <c r="R116">
        <v>50</v>
      </c>
      <c r="S116">
        <v>49</v>
      </c>
      <c r="T116">
        <v>45</v>
      </c>
      <c r="U116">
        <v>1</v>
      </c>
      <c r="V116">
        <v>1860</v>
      </c>
      <c r="W116">
        <v>0</v>
      </c>
      <c r="X116">
        <v>0</v>
      </c>
      <c r="Y116">
        <v>1500</v>
      </c>
      <c r="Z116">
        <v>1500</v>
      </c>
      <c r="AA116">
        <v>0</v>
      </c>
      <c r="AB116">
        <v>3360</v>
      </c>
      <c r="AC116">
        <v>3500</v>
      </c>
      <c r="AD116">
        <v>0</v>
      </c>
      <c r="AE116" t="s">
        <v>132</v>
      </c>
      <c r="AF116" t="s">
        <v>275</v>
      </c>
      <c r="AG116" t="s">
        <v>111</v>
      </c>
      <c r="AH116" t="s">
        <v>314</v>
      </c>
      <c r="AI116">
        <v>0</v>
      </c>
      <c r="AJ116">
        <v>2</v>
      </c>
      <c r="AK116">
        <v>0</v>
      </c>
      <c r="AL116">
        <v>2</v>
      </c>
      <c r="AM116">
        <v>0</v>
      </c>
      <c r="AN116">
        <v>12</v>
      </c>
      <c r="AO116">
        <v>0</v>
      </c>
      <c r="AP116">
        <v>0</v>
      </c>
      <c r="AQ116">
        <v>0</v>
      </c>
      <c r="AR116">
        <v>0</v>
      </c>
      <c r="AS116">
        <v>568</v>
      </c>
      <c r="AT116">
        <v>120</v>
      </c>
      <c r="AU116">
        <v>240</v>
      </c>
      <c r="AV116">
        <v>100</v>
      </c>
      <c r="AW116">
        <v>100</v>
      </c>
      <c r="AX116">
        <v>521928</v>
      </c>
      <c r="AY116">
        <v>438420</v>
      </c>
      <c r="AZ116">
        <v>894</v>
      </c>
      <c r="BA116">
        <v>365</v>
      </c>
      <c r="BB116">
        <v>365</v>
      </c>
      <c r="BC116">
        <v>164</v>
      </c>
      <c r="BD116" s="6">
        <v>44398</v>
      </c>
      <c r="BE116" t="s">
        <v>243</v>
      </c>
      <c r="BF116">
        <v>535000</v>
      </c>
      <c r="BG116">
        <v>510294</v>
      </c>
      <c r="BH116" t="s">
        <v>198</v>
      </c>
      <c r="BI116">
        <v>30</v>
      </c>
      <c r="BJ116" t="s">
        <v>51</v>
      </c>
      <c r="BK116" t="s">
        <v>314</v>
      </c>
      <c r="BL116">
        <v>542000</v>
      </c>
      <c r="BM116">
        <v>125500</v>
      </c>
      <c r="BN116">
        <v>416500</v>
      </c>
      <c r="BO116">
        <v>24706</v>
      </c>
      <c r="BP116">
        <v>1.0130841121495326</v>
      </c>
      <c r="BQ116">
        <v>471200.33955905738</v>
      </c>
      <c r="BR116">
        <v>544809.8086332652</v>
      </c>
      <c r="BS116" s="7">
        <f>(BR116-BL116)/BL116</f>
        <v>5.1841487698619966E-3</v>
      </c>
      <c r="BT116" s="14">
        <f>(Sales[[#This Row],[DP1]]*Lookups!$B$51)+(Sales[[#This Row],[DP2]]*Lookups!$B$52)+(Sales[[#This Row],[DP3]]*Lookups!$B$53)</f>
        <v>-73609.47471000001</v>
      </c>
      <c r="BU116" s="14">
        <f>Lookups!$B$48*0.5</f>
        <v>87214.824999999997</v>
      </c>
      <c r="BV116" s="14">
        <f>Lookups!$B$48*0.5</f>
        <v>87214.824999999997</v>
      </c>
      <c r="BW116" s="14">
        <f>Lookups!$B$49*Sales[[#This Row],[LnAcres]]</f>
        <v>-15421.81180483382</v>
      </c>
      <c r="BX116" s="14">
        <f>VLOOKUP(Sales[[#This Row],[Qlty]],Lookups!$A$54:$E$67,2,FALSE)</f>
        <v>-14329.694740000001</v>
      </c>
      <c r="BY116" s="14">
        <f>VLOOKUP(Sales[[#This Row],[Cnd]],Lookups!$A$68:$E$76,2,FALSE)</f>
        <v>47273.897095</v>
      </c>
      <c r="BZ116" s="14">
        <f>Sales[[#This Row],[Age]]*Lookups!$B$77</f>
        <v>9041.1090700000004</v>
      </c>
      <c r="CA116" s="14">
        <f>Sales[[#This Row],[MainFn]]*Lookups!$B$78</f>
        <v>128495.23374000001</v>
      </c>
      <c r="CB116" s="14">
        <f>Sales[[#This Row],[UpprFn]]*Lookups!$B$79</f>
        <v>0</v>
      </c>
      <c r="CC116" s="14">
        <f>Sales[[#This Row],[AddFn]]*Lookups!$B$80</f>
        <v>0</v>
      </c>
      <c r="CD116" s="14">
        <f>Sales[[#This Row],[Bsmt]]*Lookups!$B$81</f>
        <v>42912.987000000001</v>
      </c>
      <c r="CE116" s="14">
        <f>Sales[[#This Row],[Fixtures]]*Lookups!$B$84</f>
        <v>121861.20000000001</v>
      </c>
      <c r="CF116" s="14">
        <f>Sales[[#This Row],[MsnryFP]]*Lookups!$B$82</f>
        <v>50547.245999999999</v>
      </c>
      <c r="CG116" s="14">
        <f>Sales[[#This Row],[PrefabFP]]*Lookups!$B$83</f>
        <v>0</v>
      </c>
      <c r="CH116" s="14">
        <f>Sales[[#This Row],[GarageArea]]*Lookups!$B$85</f>
        <v>0</v>
      </c>
      <c r="CI116" s="14">
        <f>SUM(Sales[[#This Row],[Days Prior Total]:[Mdl GarageArea]])</f>
        <v>471200.3416501662</v>
      </c>
      <c r="CJ116" s="14">
        <f>ROUND(Sales[[#This Row],[25Det]],-2)</f>
        <v>24700</v>
      </c>
      <c r="CK116" s="14">
        <f>ROUND(SUM(Sales[[#This Row],[Mdl Qlty]:[Mdl GarageArea]])+Sales[[#This Row],[Mdl Res Intercept]]+Sales[[#This Row],[Days Prior Total]],-2)</f>
        <v>399400</v>
      </c>
      <c r="CL116" s="14">
        <f>ROUND(Sales[[#This Row],[Mdl Land Intercept]]+Sales[[#This Row],[Mdl LnAcres]],-2)</f>
        <v>71800</v>
      </c>
      <c r="CM116" s="14">
        <f>Sales[[#This Row],[Unadj Res Value]]+Sales[[#This Row],[Unadj Det Value]]+Sales[[#This Row],[Unadj Land Value]]</f>
        <v>495900</v>
      </c>
      <c r="CN116" s="15">
        <f>Sales[[#This Row],[Unadj Total Value]]/Sales[[#This Row],[Price]]</f>
        <v>0.9269158878504673</v>
      </c>
      <c r="CO116" s="15">
        <f>(Sales[[#This Row],[Unadj Total Value]]-Sales[[#This Row],[24Final]])/Sales[[#This Row],[24Final]]</f>
        <v>-8.5055350553505535E-2</v>
      </c>
      <c r="CP116">
        <f>VLOOKUP(Sales[[#This Row],[TNbhd]],Lookups!$M$2:$P$4,4,FALSE)</f>
        <v>0.97570000000000001</v>
      </c>
      <c r="CQ116">
        <f>VLOOKUP(Sales[[#This Row],[Qlty]],Lookups!$M$6:$P$20,4,FALSE)</f>
        <v>0.98809999999999998</v>
      </c>
      <c r="CR116">
        <f>VLOOKUP(Sales[[#This Row],[Cnd]],Lookups!$R$6:$U$15,4,FALSE)</f>
        <v>0.97829999999999995</v>
      </c>
      <c r="CS116">
        <f>VLOOKUP(Sales[[#This Row],[LivArea Range]],Lookups!$R$23:$U$39,4,FALSE)</f>
        <v>0.99619999999999997</v>
      </c>
      <c r="CT116">
        <f>VLOOKUP(Sales[[#This Row],[Decade]],Lookups!$M$23:$P$35,4,FALSE)</f>
        <v>1.0153000000000001</v>
      </c>
      <c r="CU116">
        <f>Sales[[#This Row],[Nbhd Adj]]*0.95</f>
        <v>0.92691499999999993</v>
      </c>
      <c r="CV116">
        <f>Sales[[#This Row],[Nbhd Adj]]*Sales[[#This Row],[Quality Adj]]*Sales[[#This Row],[Condition Adj]]*Sales[[#This Row],[Living Area Adj]]*Sales[[#This Row],[Decade Adj]]*0.95</f>
        <v>0.90626203439077413</v>
      </c>
      <c r="CW116">
        <f>ROUND(SUM(Sales[[#This Row],[Mdl Qlty]:[Mdl GarageArea]])+Sales[[#This Row],[Mdl Res Intercept]]*Sales[[#This Row],[Res Adj ]],-2)</f>
        <v>464800</v>
      </c>
      <c r="CX116">
        <f>ROUND(Sales[[#This Row],[25Det]]*Sales[[#This Row],[Det/Nbhd Adj]],-2)</f>
        <v>22900</v>
      </c>
      <c r="CY116">
        <f>Sales[[#This Row],[Adjusted Res]]+Sales[[#This Row],[Adj Det ]]</f>
        <v>487700</v>
      </c>
      <c r="CZ116">
        <f>ROUND((Sales[[#This Row],[Mdl Land Intercept]]+Sales[[#This Row],[Mdl LnAcres]])*Sales[[#This Row],[Det/Nbhd Adj]],-2)</f>
        <v>66500</v>
      </c>
      <c r="DA116">
        <f>Sales[[#This Row],[Adjusted Impr Total]]+Sales[[#This Row],[Adjusted Land Total]]</f>
        <v>554200</v>
      </c>
      <c r="DB116">
        <f>IFERROR((Sales[[#This Row],[Adjusted Impr Total]]-Sales[[#This Row],[24Bldg]])/Sales[[#This Row],[24Bldg]],0)</f>
        <v>0.1709483793517407</v>
      </c>
      <c r="DC116">
        <f>(Sales[[#This Row],[Adjusted Land Total]]-Sales[[#This Row],[24Lnd]])/Sales[[#This Row],[24Lnd]]</f>
        <v>-0.47011952191235062</v>
      </c>
      <c r="DD116">
        <f>(Sales[[#This Row],[Adjusted Total]]-Sales[[#This Row],[24Final]])/Sales[[#This Row],[24Final]]</f>
        <v>2.2509225092250923E-2</v>
      </c>
      <c r="DE116">
        <f>(Sales[[#This Row],[Adjusted Total]]+Sales[[#This Row],[Days Prior Total]])/Sales[[#This Row],[Price]]</f>
        <v>0.89830004727102808</v>
      </c>
    </row>
    <row r="117" spans="1:109" x14ac:dyDescent="0.3">
      <c r="A117">
        <v>2025</v>
      </c>
      <c r="B117">
        <v>18131642410</v>
      </c>
      <c r="C117">
        <v>-1.4271163556401458</v>
      </c>
      <c r="D117">
        <v>0.24</v>
      </c>
      <c r="E117">
        <v>10289</v>
      </c>
      <c r="F117">
        <v>5</v>
      </c>
      <c r="G117" t="s">
        <v>89</v>
      </c>
      <c r="H117">
        <v>3041</v>
      </c>
      <c r="I117" t="s">
        <v>302</v>
      </c>
      <c r="J117" t="s">
        <v>26</v>
      </c>
      <c r="K117">
        <v>11</v>
      </c>
      <c r="L117">
        <v>259</v>
      </c>
      <c r="M117" t="s">
        <v>4</v>
      </c>
      <c r="N117" t="s">
        <v>111</v>
      </c>
      <c r="O117" t="s">
        <v>231</v>
      </c>
      <c r="P117">
        <v>1974</v>
      </c>
      <c r="Q117">
        <v>1979</v>
      </c>
      <c r="R117">
        <v>50</v>
      </c>
      <c r="S117">
        <v>50</v>
      </c>
      <c r="T117">
        <v>45</v>
      </c>
      <c r="U117">
        <v>1</v>
      </c>
      <c r="V117">
        <v>1213</v>
      </c>
      <c r="W117">
        <v>0</v>
      </c>
      <c r="X117">
        <v>0</v>
      </c>
      <c r="Y117">
        <v>713</v>
      </c>
      <c r="Z117">
        <v>713</v>
      </c>
      <c r="AA117">
        <v>0</v>
      </c>
      <c r="AB117">
        <v>1926</v>
      </c>
      <c r="AC117">
        <v>2000</v>
      </c>
      <c r="AD117">
        <v>2</v>
      </c>
      <c r="AF117" t="s">
        <v>275</v>
      </c>
      <c r="AG117" t="s">
        <v>111</v>
      </c>
      <c r="AH117" t="s">
        <v>314</v>
      </c>
      <c r="AI117">
        <v>0</v>
      </c>
      <c r="AJ117">
        <v>2</v>
      </c>
      <c r="AK117">
        <v>0</v>
      </c>
      <c r="AL117">
        <v>1</v>
      </c>
      <c r="AM117">
        <v>1</v>
      </c>
      <c r="AN117">
        <v>10</v>
      </c>
      <c r="AO117">
        <v>0</v>
      </c>
      <c r="AP117">
        <v>500</v>
      </c>
      <c r="AQ117">
        <v>500</v>
      </c>
      <c r="AR117">
        <v>0</v>
      </c>
      <c r="AS117">
        <v>755</v>
      </c>
      <c r="AT117">
        <v>624</v>
      </c>
      <c r="AU117">
        <v>172</v>
      </c>
      <c r="AV117">
        <v>100</v>
      </c>
      <c r="AW117">
        <v>100</v>
      </c>
      <c r="AX117">
        <v>380535</v>
      </c>
      <c r="AY117">
        <v>296817</v>
      </c>
      <c r="AZ117">
        <v>1005</v>
      </c>
      <c r="BA117">
        <v>365</v>
      </c>
      <c r="BB117">
        <v>365</v>
      </c>
      <c r="BC117">
        <v>275</v>
      </c>
      <c r="BD117" s="6">
        <v>44287</v>
      </c>
      <c r="BE117" t="s">
        <v>234</v>
      </c>
      <c r="BF117">
        <v>358750</v>
      </c>
      <c r="BG117">
        <v>358750</v>
      </c>
      <c r="BH117" t="s">
        <v>198</v>
      </c>
      <c r="BI117">
        <v>30</v>
      </c>
      <c r="BJ117" t="s">
        <v>51</v>
      </c>
      <c r="BK117" t="s">
        <v>314</v>
      </c>
      <c r="BL117">
        <v>440000</v>
      </c>
      <c r="BM117">
        <v>79500</v>
      </c>
      <c r="BN117">
        <v>360500</v>
      </c>
      <c r="BO117">
        <v>0</v>
      </c>
      <c r="BP117">
        <v>1.2264808362369337</v>
      </c>
      <c r="BQ117">
        <v>307379.1040372015</v>
      </c>
      <c r="BR117">
        <v>415241.62446412508</v>
      </c>
      <c r="BS117" s="7">
        <f>(BR117-BL117)/BL117</f>
        <v>-5.6269035308806635E-2</v>
      </c>
      <c r="BT117" s="14">
        <f>(Sales[[#This Row],[DP1]]*Lookups!$B$51)+(Sales[[#This Row],[DP2]]*Lookups!$B$52)+(Sales[[#This Row],[DP3]]*Lookups!$B$53)</f>
        <v>-107862.52071000001</v>
      </c>
      <c r="BU117" s="14">
        <f>Lookups!$B$48*0.5</f>
        <v>87214.824999999997</v>
      </c>
      <c r="BV117" s="14">
        <f>Lookups!$B$48*0.5</f>
        <v>87214.824999999997</v>
      </c>
      <c r="BW117" s="14">
        <f>Lookups!$B$49*Sales[[#This Row],[LnAcres]]</f>
        <v>-35717.648373042801</v>
      </c>
      <c r="BX117" s="14">
        <f>VLOOKUP(Sales[[#This Row],[Qlty]],Lookups!$A$54:$E$67,2,FALSE)</f>
        <v>-14329.694740000001</v>
      </c>
      <c r="BY117" s="14">
        <f>VLOOKUP(Sales[[#This Row],[Cnd]],Lookups!$A$68:$E$76,2,FALSE)</f>
        <v>0</v>
      </c>
      <c r="BZ117" s="14">
        <f>Sales[[#This Row],[Age]]*Lookups!$B$77</f>
        <v>9225.6214999999993</v>
      </c>
      <c r="CA117" s="14">
        <f>Sales[[#This Row],[MainFn]]*Lookups!$B$78</f>
        <v>83798.235767000006</v>
      </c>
      <c r="CB117" s="14">
        <f>Sales[[#This Row],[UpprFn]]*Lookups!$B$79</f>
        <v>0</v>
      </c>
      <c r="CC117" s="14">
        <f>Sales[[#This Row],[AddFn]]*Lookups!$B$80</f>
        <v>0</v>
      </c>
      <c r="CD117" s="14">
        <f>Sales[[#This Row],[Bsmt]]*Lookups!$B$81</f>
        <v>20397.973153999999</v>
      </c>
      <c r="CE117" s="14">
        <f>Sales[[#This Row],[Fixtures]]*Lookups!$B$84</f>
        <v>101551</v>
      </c>
      <c r="CF117" s="14">
        <f>Sales[[#This Row],[MsnryFP]]*Lookups!$B$82</f>
        <v>50547.245999999999</v>
      </c>
      <c r="CG117" s="14">
        <f>Sales[[#This Row],[PrefabFP]]*Lookups!$B$83</f>
        <v>0</v>
      </c>
      <c r="CH117" s="14">
        <f>Sales[[#This Row],[GarageArea]]*Lookups!$B$85</f>
        <v>25339.248500000002</v>
      </c>
      <c r="CI117" s="14">
        <f>SUM(Sales[[#This Row],[Days Prior Total]:[Mdl GarageArea]])</f>
        <v>307379.11109795718</v>
      </c>
      <c r="CJ117" s="14">
        <f>ROUND(Sales[[#This Row],[25Det]],-2)</f>
        <v>0</v>
      </c>
      <c r="CK117" s="14">
        <f>ROUND(SUM(Sales[[#This Row],[Mdl Qlty]:[Mdl GarageArea]])+Sales[[#This Row],[Mdl Res Intercept]]+Sales[[#This Row],[Days Prior Total]],-2)</f>
        <v>255900</v>
      </c>
      <c r="CL117" s="14">
        <f>ROUND(Sales[[#This Row],[Mdl Land Intercept]]+Sales[[#This Row],[Mdl LnAcres]],-2)</f>
        <v>51500</v>
      </c>
      <c r="CM117" s="14">
        <f>Sales[[#This Row],[Unadj Res Value]]+Sales[[#This Row],[Unadj Det Value]]+Sales[[#This Row],[Unadj Land Value]]</f>
        <v>307400</v>
      </c>
      <c r="CN117" s="15">
        <f>Sales[[#This Row],[Unadj Total Value]]/Sales[[#This Row],[Price]]</f>
        <v>0.85686411149825781</v>
      </c>
      <c r="CO117" s="15">
        <f>(Sales[[#This Row],[Unadj Total Value]]-Sales[[#This Row],[24Final]])/Sales[[#This Row],[24Final]]</f>
        <v>-0.30136363636363639</v>
      </c>
      <c r="CP117">
        <f>VLOOKUP(Sales[[#This Row],[TNbhd]],Lookups!$M$2:$P$4,4,FALSE)</f>
        <v>0.97570000000000001</v>
      </c>
      <c r="CQ117">
        <f>VLOOKUP(Sales[[#This Row],[Qlty]],Lookups!$M$6:$P$20,4,FALSE)</f>
        <v>0.98809999999999998</v>
      </c>
      <c r="CR117">
        <f>VLOOKUP(Sales[[#This Row],[Cnd]],Lookups!$R$6:$U$15,4,FALSE)</f>
        <v>0.9677</v>
      </c>
      <c r="CS117">
        <f>VLOOKUP(Sales[[#This Row],[LivArea Range]],Lookups!$R$23:$U$39,4,FALSE)</f>
        <v>0.99099999999999999</v>
      </c>
      <c r="CT117">
        <f>VLOOKUP(Sales[[#This Row],[Decade]],Lookups!$M$23:$P$35,4,FALSE)</f>
        <v>1.0153000000000001</v>
      </c>
      <c r="CU117">
        <f>Sales[[#This Row],[Nbhd Adj]]*0.95</f>
        <v>0.92691499999999993</v>
      </c>
      <c r="CV117">
        <f>Sales[[#This Row],[Nbhd Adj]]*Sales[[#This Row],[Quality Adj]]*Sales[[#This Row],[Condition Adj]]*Sales[[#This Row],[Living Area Adj]]*Sales[[#This Row],[Decade Adj]]*0.95</f>
        <v>0.89176329188587344</v>
      </c>
      <c r="CW117">
        <f>ROUND(SUM(Sales[[#This Row],[Mdl Qlty]:[Mdl GarageArea]])+Sales[[#This Row],[Mdl Res Intercept]]*Sales[[#This Row],[Res Adj ]],-2)</f>
        <v>354300</v>
      </c>
      <c r="CX117">
        <f>ROUND(Sales[[#This Row],[25Det]]*Sales[[#This Row],[Det/Nbhd Adj]],-2)</f>
        <v>0</v>
      </c>
      <c r="CY117">
        <f>Sales[[#This Row],[Adjusted Res]]+Sales[[#This Row],[Adj Det ]]</f>
        <v>354300</v>
      </c>
      <c r="CZ117">
        <f>ROUND((Sales[[#This Row],[Mdl Land Intercept]]+Sales[[#This Row],[Mdl LnAcres]])*Sales[[#This Row],[Det/Nbhd Adj]],-2)</f>
        <v>47700</v>
      </c>
      <c r="DA117">
        <f>Sales[[#This Row],[Adjusted Impr Total]]+Sales[[#This Row],[Adjusted Land Total]]</f>
        <v>402000</v>
      </c>
      <c r="DB117">
        <f>IFERROR((Sales[[#This Row],[Adjusted Impr Total]]-Sales[[#This Row],[24Bldg]])/Sales[[#This Row],[24Bldg]],0)</f>
        <v>-1.7198335644937588E-2</v>
      </c>
      <c r="DC117">
        <f>(Sales[[#This Row],[Adjusted Land Total]]-Sales[[#This Row],[24Lnd]])/Sales[[#This Row],[24Lnd]]</f>
        <v>-0.4</v>
      </c>
      <c r="DD117">
        <f>(Sales[[#This Row],[Adjusted Total]]-Sales[[#This Row],[24Final]])/Sales[[#This Row],[24Final]]</f>
        <v>-8.6363636363636365E-2</v>
      </c>
      <c r="DE117">
        <f>(Sales[[#This Row],[Adjusted Total]]+Sales[[#This Row],[Days Prior Total]])/Sales[[#This Row],[Price]]</f>
        <v>0.81989541265505228</v>
      </c>
    </row>
    <row r="118" spans="1:109" x14ac:dyDescent="0.3">
      <c r="A118">
        <v>2025</v>
      </c>
      <c r="B118">
        <v>18131613405</v>
      </c>
      <c r="C118">
        <v>-1.2039728043259361</v>
      </c>
      <c r="D118">
        <v>0.3</v>
      </c>
      <c r="E118">
        <v>13098</v>
      </c>
      <c r="F118">
        <v>5</v>
      </c>
      <c r="G118" t="s">
        <v>89</v>
      </c>
      <c r="H118">
        <v>3041</v>
      </c>
      <c r="I118" t="s">
        <v>302</v>
      </c>
      <c r="J118" t="s">
        <v>26</v>
      </c>
      <c r="K118">
        <v>11</v>
      </c>
      <c r="L118">
        <v>259</v>
      </c>
      <c r="M118" t="s">
        <v>172</v>
      </c>
      <c r="N118" t="s">
        <v>111</v>
      </c>
      <c r="O118" t="s">
        <v>231</v>
      </c>
      <c r="P118">
        <v>1974</v>
      </c>
      <c r="Q118">
        <v>1979</v>
      </c>
      <c r="R118">
        <v>50</v>
      </c>
      <c r="S118">
        <v>50</v>
      </c>
      <c r="T118">
        <v>45</v>
      </c>
      <c r="U118">
        <v>1</v>
      </c>
      <c r="V118">
        <v>2135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2135</v>
      </c>
      <c r="AC118">
        <v>2500</v>
      </c>
      <c r="AD118">
        <v>2</v>
      </c>
      <c r="AF118" t="s">
        <v>275</v>
      </c>
      <c r="AG118" t="s">
        <v>111</v>
      </c>
      <c r="AH118" t="s">
        <v>314</v>
      </c>
      <c r="AI118">
        <v>0</v>
      </c>
      <c r="AJ118">
        <v>1</v>
      </c>
      <c r="AK118">
        <v>0</v>
      </c>
      <c r="AL118">
        <v>3</v>
      </c>
      <c r="AM118">
        <v>0</v>
      </c>
      <c r="AN118">
        <v>12</v>
      </c>
      <c r="AO118">
        <v>576</v>
      </c>
      <c r="AP118">
        <v>0</v>
      </c>
      <c r="AQ118">
        <v>576</v>
      </c>
      <c r="AR118">
        <v>0</v>
      </c>
      <c r="AS118">
        <v>204</v>
      </c>
      <c r="AT118">
        <v>0</v>
      </c>
      <c r="AU118">
        <v>0</v>
      </c>
      <c r="AV118">
        <v>100</v>
      </c>
      <c r="AW118">
        <v>100</v>
      </c>
      <c r="AX118">
        <v>427636</v>
      </c>
      <c r="AY118">
        <v>333556</v>
      </c>
      <c r="AZ118">
        <v>948</v>
      </c>
      <c r="BA118">
        <v>365</v>
      </c>
      <c r="BB118">
        <v>365</v>
      </c>
      <c r="BC118">
        <v>218</v>
      </c>
      <c r="BD118" s="6">
        <v>44344</v>
      </c>
      <c r="BE118" t="s">
        <v>136</v>
      </c>
      <c r="BF118">
        <v>335000</v>
      </c>
      <c r="BG118">
        <v>335000</v>
      </c>
      <c r="BH118" t="s">
        <v>198</v>
      </c>
      <c r="BI118">
        <v>30</v>
      </c>
      <c r="BJ118" t="s">
        <v>51</v>
      </c>
      <c r="BK118" t="s">
        <v>314</v>
      </c>
      <c r="BL118">
        <v>438800</v>
      </c>
      <c r="BM118">
        <v>92100</v>
      </c>
      <c r="BN118">
        <v>346700</v>
      </c>
      <c r="BO118">
        <v>0</v>
      </c>
      <c r="BP118">
        <v>1.3098507462686566</v>
      </c>
      <c r="BQ118">
        <v>372738.42866250424</v>
      </c>
      <c r="BR118">
        <v>463011.54434073594</v>
      </c>
      <c r="BS118" s="7">
        <f>(BR118-BL118)/BL118</f>
        <v>5.5176719099215912E-2</v>
      </c>
      <c r="BT118" s="14">
        <f>(Sales[[#This Row],[DP1]]*Lookups!$B$51)+(Sales[[#This Row],[DP2]]*Lookups!$B$52)+(Sales[[#This Row],[DP3]]*Lookups!$B$53)</f>
        <v>-90273.11871000001</v>
      </c>
      <c r="BU118" s="14">
        <f>Lookups!$B$48*0.5</f>
        <v>87214.824999999997</v>
      </c>
      <c r="BV118" s="14">
        <f>Lookups!$B$48*0.5</f>
        <v>87214.824999999997</v>
      </c>
      <c r="BW118" s="14">
        <f>Lookups!$B$49*Sales[[#This Row],[LnAcres]]</f>
        <v>-30132.845934857665</v>
      </c>
      <c r="BX118" s="14">
        <f>VLOOKUP(Sales[[#This Row],[Qlty]],Lookups!$A$54:$E$67,2,FALSE)</f>
        <v>-14329.694740000001</v>
      </c>
      <c r="BY118" s="14">
        <f>VLOOKUP(Sales[[#This Row],[Cnd]],Lookups!$A$68:$E$76,2,FALSE)</f>
        <v>0</v>
      </c>
      <c r="BZ118" s="14">
        <f>Sales[[#This Row],[Age]]*Lookups!$B$77</f>
        <v>9225.6214999999993</v>
      </c>
      <c r="CA118" s="14">
        <f>Sales[[#This Row],[MainFn]]*Lookups!$B$78</f>
        <v>147493.18496500002</v>
      </c>
      <c r="CB118" s="14">
        <f>Sales[[#This Row],[UpprFn]]*Lookups!$B$79</f>
        <v>0</v>
      </c>
      <c r="CC118" s="14">
        <f>Sales[[#This Row],[AddFn]]*Lookups!$B$80</f>
        <v>0</v>
      </c>
      <c r="CD118" s="14">
        <f>Sales[[#This Row],[Bsmt]]*Lookups!$B$81</f>
        <v>0</v>
      </c>
      <c r="CE118" s="14">
        <f>Sales[[#This Row],[Fixtures]]*Lookups!$B$84</f>
        <v>121861.20000000001</v>
      </c>
      <c r="CF118" s="14">
        <f>Sales[[#This Row],[MsnryFP]]*Lookups!$B$82</f>
        <v>25273.623</v>
      </c>
      <c r="CG118" s="14">
        <f>Sales[[#This Row],[PrefabFP]]*Lookups!$B$83</f>
        <v>0</v>
      </c>
      <c r="CH118" s="14">
        <f>Sales[[#This Row],[GarageArea]]*Lookups!$B$85</f>
        <v>29190.814272</v>
      </c>
      <c r="CI118" s="14">
        <f>SUM(Sales[[#This Row],[Days Prior Total]:[Mdl GarageArea]])</f>
        <v>372738.43435214239</v>
      </c>
      <c r="CJ118" s="14">
        <f>ROUND(Sales[[#This Row],[25Det]],-2)</f>
        <v>0</v>
      </c>
      <c r="CK118" s="14">
        <f>ROUND(SUM(Sales[[#This Row],[Mdl Qlty]:[Mdl GarageArea]])+Sales[[#This Row],[Mdl Res Intercept]]+Sales[[#This Row],[Days Prior Total]],-2)</f>
        <v>315700</v>
      </c>
      <c r="CL118" s="14">
        <f>ROUND(Sales[[#This Row],[Mdl Land Intercept]]+Sales[[#This Row],[Mdl LnAcres]],-2)</f>
        <v>57100</v>
      </c>
      <c r="CM118" s="14">
        <f>Sales[[#This Row],[Unadj Res Value]]+Sales[[#This Row],[Unadj Det Value]]+Sales[[#This Row],[Unadj Land Value]]</f>
        <v>372800</v>
      </c>
      <c r="CN118" s="15">
        <f>Sales[[#This Row],[Unadj Total Value]]/Sales[[#This Row],[Price]]</f>
        <v>1.1128358208955225</v>
      </c>
      <c r="CO118" s="15">
        <f>(Sales[[#This Row],[Unadj Total Value]]-Sales[[#This Row],[24Final]])/Sales[[#This Row],[24Final]]</f>
        <v>-0.15041020966271651</v>
      </c>
      <c r="CP118">
        <f>VLOOKUP(Sales[[#This Row],[TNbhd]],Lookups!$M$2:$P$4,4,FALSE)</f>
        <v>0.97570000000000001</v>
      </c>
      <c r="CQ118">
        <f>VLOOKUP(Sales[[#This Row],[Qlty]],Lookups!$M$6:$P$20,4,FALSE)</f>
        <v>0.98809999999999998</v>
      </c>
      <c r="CR118">
        <f>VLOOKUP(Sales[[#This Row],[Cnd]],Lookups!$R$6:$U$15,4,FALSE)</f>
        <v>0.9677</v>
      </c>
      <c r="CS118">
        <f>VLOOKUP(Sales[[#This Row],[LivArea Range]],Lookups!$R$23:$U$39,4,FALSE)</f>
        <v>0.93440000000000001</v>
      </c>
      <c r="CT118">
        <f>VLOOKUP(Sales[[#This Row],[Decade]],Lookups!$M$23:$P$35,4,FALSE)</f>
        <v>1.0153000000000001</v>
      </c>
      <c r="CU118">
        <f>Sales[[#This Row],[Nbhd Adj]]*0.95</f>
        <v>0.92691499999999993</v>
      </c>
      <c r="CV118">
        <f>Sales[[#This Row],[Nbhd Adj]]*Sales[[#This Row],[Quality Adj]]*Sales[[#This Row],[Condition Adj]]*Sales[[#This Row],[Living Area Adj]]*Sales[[#This Row],[Decade Adj]]*0.95</f>
        <v>0.84083109983669047</v>
      </c>
      <c r="CW118">
        <f>ROUND(SUM(Sales[[#This Row],[Mdl Qlty]:[Mdl GarageArea]])+Sales[[#This Row],[Mdl Res Intercept]]*Sales[[#This Row],[Res Adj ]],-2)</f>
        <v>392000</v>
      </c>
      <c r="CX118">
        <f>ROUND(Sales[[#This Row],[25Det]]*Sales[[#This Row],[Det/Nbhd Adj]],-2)</f>
        <v>0</v>
      </c>
      <c r="CY118">
        <f>Sales[[#This Row],[Adjusted Res]]+Sales[[#This Row],[Adj Det ]]</f>
        <v>392000</v>
      </c>
      <c r="CZ118">
        <f>ROUND((Sales[[#This Row],[Mdl Land Intercept]]+Sales[[#This Row],[Mdl LnAcres]])*Sales[[#This Row],[Det/Nbhd Adj]],-2)</f>
        <v>52900</v>
      </c>
      <c r="DA118">
        <f>Sales[[#This Row],[Adjusted Impr Total]]+Sales[[#This Row],[Adjusted Land Total]]</f>
        <v>444900</v>
      </c>
      <c r="DB118">
        <f>IFERROR((Sales[[#This Row],[Adjusted Impr Total]]-Sales[[#This Row],[24Bldg]])/Sales[[#This Row],[24Bldg]],0)</f>
        <v>0.13066051341217191</v>
      </c>
      <c r="DC118">
        <f>(Sales[[#This Row],[Adjusted Land Total]]-Sales[[#This Row],[24Lnd]])/Sales[[#This Row],[24Lnd]]</f>
        <v>-0.42562432138979372</v>
      </c>
      <c r="DD118">
        <f>(Sales[[#This Row],[Adjusted Total]]-Sales[[#This Row],[24Final]])/Sales[[#This Row],[24Final]]</f>
        <v>1.390154968094804E-2</v>
      </c>
      <c r="DE118">
        <f>(Sales[[#This Row],[Adjusted Total]]+Sales[[#This Row],[Days Prior Total]])/Sales[[#This Row],[Price]]</f>
        <v>1.0585877053432835</v>
      </c>
    </row>
    <row r="119" spans="1:109" x14ac:dyDescent="0.3">
      <c r="A119">
        <v>2025</v>
      </c>
      <c r="B119">
        <v>18131524414</v>
      </c>
      <c r="C119">
        <v>-0.9942522733438669</v>
      </c>
      <c r="D119">
        <v>0.37</v>
      </c>
      <c r="E119">
        <v>16183</v>
      </c>
      <c r="F119">
        <v>5</v>
      </c>
      <c r="G119" t="s">
        <v>89</v>
      </c>
      <c r="H119">
        <v>3041</v>
      </c>
      <c r="I119" t="s">
        <v>302</v>
      </c>
      <c r="J119" t="s">
        <v>26</v>
      </c>
      <c r="K119">
        <v>11</v>
      </c>
      <c r="L119">
        <v>259</v>
      </c>
      <c r="M119" t="s">
        <v>4</v>
      </c>
      <c r="N119" t="s">
        <v>111</v>
      </c>
      <c r="O119" t="s">
        <v>231</v>
      </c>
      <c r="P119">
        <v>1974</v>
      </c>
      <c r="Q119">
        <v>1979</v>
      </c>
      <c r="R119">
        <v>50</v>
      </c>
      <c r="S119">
        <v>50</v>
      </c>
      <c r="T119">
        <v>45</v>
      </c>
      <c r="U119">
        <v>1</v>
      </c>
      <c r="V119">
        <v>1778</v>
      </c>
      <c r="W119">
        <v>0</v>
      </c>
      <c r="X119">
        <v>0</v>
      </c>
      <c r="Y119">
        <v>1260</v>
      </c>
      <c r="Z119">
        <v>1260</v>
      </c>
      <c r="AA119">
        <v>0</v>
      </c>
      <c r="AB119">
        <v>3038</v>
      </c>
      <c r="AC119">
        <v>3500</v>
      </c>
      <c r="AD119">
        <v>0</v>
      </c>
      <c r="AE119" t="s">
        <v>5</v>
      </c>
      <c r="AF119" t="s">
        <v>275</v>
      </c>
      <c r="AG119" t="s">
        <v>111</v>
      </c>
      <c r="AH119" t="s">
        <v>314</v>
      </c>
      <c r="AI119">
        <v>1</v>
      </c>
      <c r="AJ119">
        <v>1</v>
      </c>
      <c r="AK119">
        <v>0</v>
      </c>
      <c r="AL119">
        <v>2</v>
      </c>
      <c r="AM119">
        <v>0</v>
      </c>
      <c r="AN119">
        <v>11</v>
      </c>
      <c r="AO119">
        <v>0</v>
      </c>
      <c r="AP119">
        <v>484</v>
      </c>
      <c r="AQ119">
        <v>484</v>
      </c>
      <c r="AR119">
        <v>0</v>
      </c>
      <c r="AS119">
        <v>315</v>
      </c>
      <c r="AT119">
        <v>0</v>
      </c>
      <c r="AU119">
        <v>0</v>
      </c>
      <c r="AV119">
        <v>100</v>
      </c>
      <c r="AW119">
        <v>100</v>
      </c>
      <c r="AX119">
        <v>496392</v>
      </c>
      <c r="AY119">
        <v>387186</v>
      </c>
      <c r="AZ119">
        <v>404</v>
      </c>
      <c r="BA119">
        <v>365</v>
      </c>
      <c r="BB119">
        <v>39</v>
      </c>
      <c r="BC119">
        <v>0</v>
      </c>
      <c r="BD119" s="6">
        <v>44888</v>
      </c>
      <c r="BE119" t="s">
        <v>29</v>
      </c>
      <c r="BF119">
        <v>420000</v>
      </c>
      <c r="BG119">
        <v>398409</v>
      </c>
      <c r="BH119" t="s">
        <v>198</v>
      </c>
      <c r="BI119">
        <v>30</v>
      </c>
      <c r="BJ119" t="s">
        <v>51</v>
      </c>
      <c r="BK119" t="s">
        <v>314</v>
      </c>
      <c r="BL119">
        <v>465500</v>
      </c>
      <c r="BM119">
        <v>104100</v>
      </c>
      <c r="BN119">
        <v>361400</v>
      </c>
      <c r="BO119">
        <v>21591</v>
      </c>
      <c r="BP119">
        <v>1.1083333333333334</v>
      </c>
      <c r="BQ119">
        <v>410808.51194365957</v>
      </c>
      <c r="BR119">
        <v>464826.99104992964</v>
      </c>
      <c r="BS119" s="7">
        <f>(BR119-BL119)/BL119</f>
        <v>-1.4457764770577049E-3</v>
      </c>
      <c r="BT119" s="14">
        <f>(Sales[[#This Row],[DP1]]*Lookups!$B$51)+(Sales[[#This Row],[DP2]]*Lookups!$B$52)+(Sales[[#This Row],[DP3]]*Lookups!$B$53)</f>
        <v>-54018.492706000005</v>
      </c>
      <c r="BU119" s="14">
        <f>Lookups!$B$48*0.5</f>
        <v>87214.824999999997</v>
      </c>
      <c r="BV119" s="14">
        <f>Lookups!$B$48*0.5</f>
        <v>87214.824999999997</v>
      </c>
      <c r="BW119" s="14">
        <f>Lookups!$B$49*Sales[[#This Row],[LnAcres]]</f>
        <v>-24883.992782400208</v>
      </c>
      <c r="BX119" s="14">
        <f>VLOOKUP(Sales[[#This Row],[Qlty]],Lookups!$A$54:$E$67,2,FALSE)</f>
        <v>-14329.694740000001</v>
      </c>
      <c r="BY119" s="14">
        <f>VLOOKUP(Sales[[#This Row],[Cnd]],Lookups!$A$68:$E$76,2,FALSE)</f>
        <v>0</v>
      </c>
      <c r="BZ119" s="14">
        <f>Sales[[#This Row],[Age]]*Lookups!$B$77</f>
        <v>9225.6214999999993</v>
      </c>
      <c r="CA119" s="14">
        <f>Sales[[#This Row],[MainFn]]*Lookups!$B$78</f>
        <v>122830.390102</v>
      </c>
      <c r="CB119" s="14">
        <f>Sales[[#This Row],[UpprFn]]*Lookups!$B$79</f>
        <v>0</v>
      </c>
      <c r="CC119" s="14">
        <f>Sales[[#This Row],[AddFn]]*Lookups!$B$80</f>
        <v>0</v>
      </c>
      <c r="CD119" s="14">
        <f>Sales[[#This Row],[Bsmt]]*Lookups!$B$81</f>
        <v>36046.909079999998</v>
      </c>
      <c r="CE119" s="14">
        <f>Sales[[#This Row],[Fixtures]]*Lookups!$B$84</f>
        <v>111706.1</v>
      </c>
      <c r="CF119" s="14">
        <f>Sales[[#This Row],[MsnryFP]]*Lookups!$B$82</f>
        <v>25273.623</v>
      </c>
      <c r="CG119" s="14">
        <f>Sales[[#This Row],[PrefabFP]]*Lookups!$B$83</f>
        <v>0</v>
      </c>
      <c r="CH119" s="14">
        <f>Sales[[#This Row],[GarageArea]]*Lookups!$B$85</f>
        <v>24528.392548</v>
      </c>
      <c r="CI119" s="14">
        <f>SUM(Sales[[#This Row],[Days Prior Total]:[Mdl GarageArea]])</f>
        <v>410808.50600159983</v>
      </c>
      <c r="CJ119" s="14">
        <f>ROUND(Sales[[#This Row],[25Det]],-2)</f>
        <v>21600</v>
      </c>
      <c r="CK119" s="14">
        <f>ROUND(SUM(Sales[[#This Row],[Mdl Qlty]:[Mdl GarageArea]])+Sales[[#This Row],[Mdl Res Intercept]]+Sales[[#This Row],[Days Prior Total]],-2)</f>
        <v>348500</v>
      </c>
      <c r="CL119" s="14">
        <f>ROUND(Sales[[#This Row],[Mdl Land Intercept]]+Sales[[#This Row],[Mdl LnAcres]],-2)</f>
        <v>62300</v>
      </c>
      <c r="CM119" s="14">
        <f>Sales[[#This Row],[Unadj Res Value]]+Sales[[#This Row],[Unadj Det Value]]+Sales[[#This Row],[Unadj Land Value]]</f>
        <v>432400</v>
      </c>
      <c r="CN119" s="15">
        <f>Sales[[#This Row],[Unadj Total Value]]/Sales[[#This Row],[Price]]</f>
        <v>1.0295238095238095</v>
      </c>
      <c r="CO119" s="15">
        <f>(Sales[[#This Row],[Unadj Total Value]]-Sales[[#This Row],[24Final]])/Sales[[#This Row],[24Final]]</f>
        <v>-7.1106337271750808E-2</v>
      </c>
      <c r="CP119">
        <f>VLOOKUP(Sales[[#This Row],[TNbhd]],Lookups!$M$2:$P$4,4,FALSE)</f>
        <v>0.97570000000000001</v>
      </c>
      <c r="CQ119">
        <f>VLOOKUP(Sales[[#This Row],[Qlty]],Lookups!$M$6:$P$20,4,FALSE)</f>
        <v>0.98809999999999998</v>
      </c>
      <c r="CR119">
        <f>VLOOKUP(Sales[[#This Row],[Cnd]],Lookups!$R$6:$U$15,4,FALSE)</f>
        <v>0.9677</v>
      </c>
      <c r="CS119">
        <f>VLOOKUP(Sales[[#This Row],[LivArea Range]],Lookups!$R$23:$U$39,4,FALSE)</f>
        <v>0.99619999999999997</v>
      </c>
      <c r="CT119">
        <f>VLOOKUP(Sales[[#This Row],[Decade]],Lookups!$M$23:$P$35,4,FALSE)</f>
        <v>1.0153000000000001</v>
      </c>
      <c r="CU119">
        <f>Sales[[#This Row],[Nbhd Adj]]*0.95</f>
        <v>0.92691499999999993</v>
      </c>
      <c r="CV119">
        <f>Sales[[#This Row],[Nbhd Adj]]*Sales[[#This Row],[Quality Adj]]*Sales[[#This Row],[Condition Adj]]*Sales[[#This Row],[Living Area Adj]]*Sales[[#This Row],[Decade Adj]]*0.95</f>
        <v>0.89644257454763587</v>
      </c>
      <c r="CW119">
        <f>ROUND(SUM(Sales[[#This Row],[Mdl Qlty]:[Mdl GarageArea]])+Sales[[#This Row],[Mdl Res Intercept]]*Sales[[#This Row],[Res Adj ]],-2)</f>
        <v>393500</v>
      </c>
      <c r="CX119">
        <f>ROUND(Sales[[#This Row],[25Det]]*Sales[[#This Row],[Det/Nbhd Adj]],-2)</f>
        <v>20000</v>
      </c>
      <c r="CY119">
        <f>Sales[[#This Row],[Adjusted Res]]+Sales[[#This Row],[Adj Det ]]</f>
        <v>413500</v>
      </c>
      <c r="CZ119">
        <f>ROUND((Sales[[#This Row],[Mdl Land Intercept]]+Sales[[#This Row],[Mdl LnAcres]])*Sales[[#This Row],[Det/Nbhd Adj]],-2)</f>
        <v>57800</v>
      </c>
      <c r="DA119">
        <f>Sales[[#This Row],[Adjusted Impr Total]]+Sales[[#This Row],[Adjusted Land Total]]</f>
        <v>471300</v>
      </c>
      <c r="DB119">
        <f>IFERROR((Sales[[#This Row],[Adjusted Impr Total]]-Sales[[#This Row],[24Bldg]])/Sales[[#This Row],[24Bldg]],0)</f>
        <v>0.14416159380188157</v>
      </c>
      <c r="DC119">
        <f>(Sales[[#This Row],[Adjusted Land Total]]-Sales[[#This Row],[24Lnd]])/Sales[[#This Row],[24Lnd]]</f>
        <v>-0.4447646493756004</v>
      </c>
      <c r="DD119">
        <f>(Sales[[#This Row],[Adjusted Total]]-Sales[[#This Row],[24Final]])/Sales[[#This Row],[24Final]]</f>
        <v>1.2459720730397422E-2</v>
      </c>
      <c r="DE119">
        <f>(Sales[[#This Row],[Adjusted Total]]+Sales[[#This Row],[Days Prior Total]])/Sales[[#This Row],[Price]]</f>
        <v>0.99352739831904768</v>
      </c>
    </row>
    <row r="120" spans="1:109" x14ac:dyDescent="0.3">
      <c r="A120">
        <v>2025</v>
      </c>
      <c r="B120">
        <v>18131611404</v>
      </c>
      <c r="C120">
        <v>0</v>
      </c>
      <c r="D120">
        <v>1</v>
      </c>
      <c r="E120">
        <v>0</v>
      </c>
      <c r="F120">
        <v>5</v>
      </c>
      <c r="G120" t="s">
        <v>89</v>
      </c>
      <c r="H120">
        <v>3041</v>
      </c>
      <c r="I120" t="s">
        <v>302</v>
      </c>
      <c r="J120" t="s">
        <v>110</v>
      </c>
      <c r="K120">
        <v>11</v>
      </c>
      <c r="L120">
        <v>259</v>
      </c>
      <c r="M120" t="s">
        <v>256</v>
      </c>
      <c r="N120" t="s">
        <v>111</v>
      </c>
      <c r="O120" t="s">
        <v>231</v>
      </c>
      <c r="P120">
        <v>1974</v>
      </c>
      <c r="Q120">
        <v>1985</v>
      </c>
      <c r="R120">
        <v>50</v>
      </c>
      <c r="S120">
        <v>50</v>
      </c>
      <c r="T120">
        <v>39</v>
      </c>
      <c r="U120">
        <v>1</v>
      </c>
      <c r="V120">
        <v>3142</v>
      </c>
      <c r="W120">
        <v>0</v>
      </c>
      <c r="X120">
        <v>0</v>
      </c>
      <c r="Y120">
        <v>483</v>
      </c>
      <c r="Z120">
        <v>483</v>
      </c>
      <c r="AA120">
        <v>0</v>
      </c>
      <c r="AB120">
        <v>3625</v>
      </c>
      <c r="AC120">
        <v>4000</v>
      </c>
      <c r="AD120">
        <v>2</v>
      </c>
      <c r="AF120" t="s">
        <v>275</v>
      </c>
      <c r="AG120" t="s">
        <v>274</v>
      </c>
      <c r="AI120">
        <v>1</v>
      </c>
      <c r="AJ120">
        <v>0</v>
      </c>
      <c r="AK120">
        <v>0</v>
      </c>
      <c r="AL120">
        <v>2</v>
      </c>
      <c r="AM120">
        <v>0</v>
      </c>
      <c r="AN120">
        <v>22</v>
      </c>
      <c r="AO120">
        <v>0</v>
      </c>
      <c r="AP120">
        <v>506</v>
      </c>
      <c r="AQ120">
        <v>506</v>
      </c>
      <c r="AR120">
        <v>0</v>
      </c>
      <c r="AS120">
        <v>484</v>
      </c>
      <c r="AT120">
        <v>110</v>
      </c>
      <c r="AU120">
        <v>110</v>
      </c>
      <c r="AV120">
        <v>100</v>
      </c>
      <c r="AW120">
        <v>100</v>
      </c>
      <c r="AX120">
        <v>630983</v>
      </c>
      <c r="AY120">
        <v>523716</v>
      </c>
      <c r="AZ120">
        <v>570</v>
      </c>
      <c r="BA120">
        <v>365</v>
      </c>
      <c r="BB120">
        <v>205</v>
      </c>
      <c r="BC120">
        <v>0</v>
      </c>
      <c r="BD120" s="6">
        <v>44722</v>
      </c>
      <c r="BE120" t="s">
        <v>159</v>
      </c>
      <c r="BF120">
        <v>663800</v>
      </c>
      <c r="BG120">
        <v>651086</v>
      </c>
      <c r="BH120" t="s">
        <v>198</v>
      </c>
      <c r="BI120">
        <v>30</v>
      </c>
      <c r="BJ120" t="s">
        <v>51</v>
      </c>
      <c r="BK120" t="s">
        <v>314</v>
      </c>
      <c r="BL120">
        <v>640700</v>
      </c>
      <c r="BM120">
        <v>160500</v>
      </c>
      <c r="BN120">
        <v>480200</v>
      </c>
      <c r="BO120">
        <v>12714</v>
      </c>
      <c r="BP120">
        <v>0.96520036155468514</v>
      </c>
      <c r="BQ120">
        <v>611034.80865039106</v>
      </c>
      <c r="BR120">
        <v>649259.29314888141</v>
      </c>
      <c r="BS120" s="7">
        <f>(BR120-BL120)/BL120</f>
        <v>1.3359283828439842E-2</v>
      </c>
      <c r="BT120" s="14">
        <f>(Sales[[#This Row],[DP1]]*Lookups!$B$51)+(Sales[[#This Row],[DP2]]*Lookups!$B$52)+(Sales[[#This Row],[DP3]]*Lookups!$B$53)</f>
        <v>-38224.498070000001</v>
      </c>
      <c r="BU120" s="14">
        <f>Lookups!$B$48*0.5</f>
        <v>87214.824999999997</v>
      </c>
      <c r="BV120" s="14">
        <f>Lookups!$B$48*0.5</f>
        <v>87214.824999999997</v>
      </c>
      <c r="BW120" s="14">
        <f>Lookups!$B$49*Sales[[#This Row],[LnAcres]]</f>
        <v>0</v>
      </c>
      <c r="BX120" s="14">
        <f>VLOOKUP(Sales[[#This Row],[Qlty]],Lookups!$A$54:$E$67,2,FALSE)</f>
        <v>-14329.694740000001</v>
      </c>
      <c r="BY120" s="14">
        <f>VLOOKUP(Sales[[#This Row],[Cnd]],Lookups!$A$68:$E$76,2,FALSE)</f>
        <v>0</v>
      </c>
      <c r="BZ120" s="14">
        <f>Sales[[#This Row],[Age]]*Lookups!$B$77</f>
        <v>9225.6214999999993</v>
      </c>
      <c r="CA120" s="14">
        <f>Sales[[#This Row],[MainFn]]*Lookups!$B$78</f>
        <v>217060.22817800002</v>
      </c>
      <c r="CB120" s="14">
        <f>Sales[[#This Row],[UpprFn]]*Lookups!$B$79</f>
        <v>0</v>
      </c>
      <c r="CC120" s="14">
        <f>Sales[[#This Row],[AddFn]]*Lookups!$B$80</f>
        <v>0</v>
      </c>
      <c r="CD120" s="14">
        <f>Sales[[#This Row],[Bsmt]]*Lookups!$B$81</f>
        <v>13817.981813999999</v>
      </c>
      <c r="CE120" s="14">
        <f>Sales[[#This Row],[Fixtures]]*Lookups!$B$84</f>
        <v>223412.2</v>
      </c>
      <c r="CF120" s="14">
        <f>Sales[[#This Row],[MsnryFP]]*Lookups!$B$82</f>
        <v>0</v>
      </c>
      <c r="CG120" s="14">
        <f>Sales[[#This Row],[PrefabFP]]*Lookups!$B$83</f>
        <v>0</v>
      </c>
      <c r="CH120" s="14">
        <f>Sales[[#This Row],[GarageArea]]*Lookups!$B$85</f>
        <v>25643.319481999999</v>
      </c>
      <c r="CI120" s="14">
        <f>SUM(Sales[[#This Row],[Days Prior Total]:[Mdl GarageArea]])</f>
        <v>611034.80816399993</v>
      </c>
      <c r="CJ120" s="14">
        <f>ROUND(Sales[[#This Row],[25Det]],-2)</f>
        <v>12700</v>
      </c>
      <c r="CK120" s="14">
        <f>ROUND(SUM(Sales[[#This Row],[Mdl Qlty]:[Mdl GarageArea]])+Sales[[#This Row],[Mdl Res Intercept]]+Sales[[#This Row],[Days Prior Total]],-2)</f>
        <v>523800</v>
      </c>
      <c r="CL120" s="14">
        <f>ROUND(Sales[[#This Row],[Mdl Land Intercept]]+Sales[[#This Row],[Mdl LnAcres]],-2)</f>
        <v>87200</v>
      </c>
      <c r="CM120" s="14">
        <f>Sales[[#This Row],[Unadj Res Value]]+Sales[[#This Row],[Unadj Det Value]]+Sales[[#This Row],[Unadj Land Value]]</f>
        <v>623700</v>
      </c>
      <c r="CN120" s="15">
        <f>Sales[[#This Row],[Unadj Total Value]]/Sales[[#This Row],[Price]]</f>
        <v>0.93959023802350106</v>
      </c>
      <c r="CO120" s="15">
        <f>(Sales[[#This Row],[Unadj Total Value]]-Sales[[#This Row],[24Final]])/Sales[[#This Row],[24Final]]</f>
        <v>-2.6533479007335728E-2</v>
      </c>
      <c r="CP120">
        <f>VLOOKUP(Sales[[#This Row],[TNbhd]],Lookups!$M$2:$P$4,4,FALSE)</f>
        <v>0.97570000000000001</v>
      </c>
      <c r="CQ120">
        <f>VLOOKUP(Sales[[#This Row],[Qlty]],Lookups!$M$6:$P$20,4,FALSE)</f>
        <v>0.98809999999999998</v>
      </c>
      <c r="CR120">
        <f>VLOOKUP(Sales[[#This Row],[Cnd]],Lookups!$R$6:$U$15,4,FALSE)</f>
        <v>0.9677</v>
      </c>
      <c r="CS120">
        <f>VLOOKUP(Sales[[#This Row],[LivArea Range]],Lookups!$R$23:$U$39,4,FALSE)</f>
        <v>1.034</v>
      </c>
      <c r="CT120">
        <f>VLOOKUP(Sales[[#This Row],[Decade]],Lookups!$M$23:$P$35,4,FALSE)</f>
        <v>1.0153000000000001</v>
      </c>
      <c r="CU120">
        <f>Sales[[#This Row],[Nbhd Adj]]*0.95</f>
        <v>0.92691499999999993</v>
      </c>
      <c r="CV120">
        <f>Sales[[#This Row],[Nbhd Adj]]*Sales[[#This Row],[Quality Adj]]*Sales[[#This Row],[Condition Adj]]*Sales[[#This Row],[Living Area Adj]]*Sales[[#This Row],[Decade Adj]]*0.95</f>
        <v>0.93045736005044721</v>
      </c>
      <c r="CW120">
        <f>ROUND(SUM(Sales[[#This Row],[Mdl Qlty]:[Mdl GarageArea]])+Sales[[#This Row],[Mdl Res Intercept]]*Sales[[#This Row],[Res Adj ]],-2)</f>
        <v>556000</v>
      </c>
      <c r="CX120">
        <f>ROUND(Sales[[#This Row],[25Det]]*Sales[[#This Row],[Det/Nbhd Adj]],-2)</f>
        <v>11800</v>
      </c>
      <c r="CY120">
        <f>Sales[[#This Row],[Adjusted Res]]+Sales[[#This Row],[Adj Det ]]</f>
        <v>567800</v>
      </c>
      <c r="CZ120">
        <f>ROUND((Sales[[#This Row],[Mdl Land Intercept]]+Sales[[#This Row],[Mdl LnAcres]])*Sales[[#This Row],[Det/Nbhd Adj]],-2)</f>
        <v>80800</v>
      </c>
      <c r="DA120">
        <f>Sales[[#This Row],[Adjusted Impr Total]]+Sales[[#This Row],[Adjusted Land Total]]</f>
        <v>648600</v>
      </c>
      <c r="DB120">
        <f>IFERROR((Sales[[#This Row],[Adjusted Impr Total]]-Sales[[#This Row],[24Bldg]])/Sales[[#This Row],[24Bldg]],0)</f>
        <v>0.18242399000416493</v>
      </c>
      <c r="DC120">
        <f>(Sales[[#This Row],[Adjusted Land Total]]-Sales[[#This Row],[24Lnd]])/Sales[[#This Row],[24Lnd]]</f>
        <v>-0.49657320872274141</v>
      </c>
      <c r="DD120">
        <f>(Sales[[#This Row],[Adjusted Total]]-Sales[[#This Row],[24Final]])/Sales[[#This Row],[24Final]]</f>
        <v>1.233026377399719E-2</v>
      </c>
      <c r="DE120">
        <f>(Sales[[#This Row],[Adjusted Total]]+Sales[[#This Row],[Days Prior Total]])/Sales[[#This Row],[Price]]</f>
        <v>0.91951717675504674</v>
      </c>
    </row>
    <row r="121" spans="1:109" x14ac:dyDescent="0.3">
      <c r="A121">
        <v>2025</v>
      </c>
      <c r="B121">
        <v>18131642408</v>
      </c>
      <c r="C121">
        <v>-1.0788096613719298</v>
      </c>
      <c r="D121">
        <v>0.34</v>
      </c>
      <c r="E121">
        <v>15015</v>
      </c>
      <c r="F121">
        <v>5</v>
      </c>
      <c r="G121" t="s">
        <v>89</v>
      </c>
      <c r="H121">
        <v>3041</v>
      </c>
      <c r="I121" t="s">
        <v>302</v>
      </c>
      <c r="J121" t="s">
        <v>26</v>
      </c>
      <c r="K121">
        <v>11</v>
      </c>
      <c r="L121">
        <v>259</v>
      </c>
      <c r="M121" t="s">
        <v>4</v>
      </c>
      <c r="N121" t="s">
        <v>111</v>
      </c>
      <c r="O121" t="s">
        <v>207</v>
      </c>
      <c r="P121">
        <v>1974</v>
      </c>
      <c r="Q121">
        <v>1979</v>
      </c>
      <c r="R121">
        <v>50</v>
      </c>
      <c r="S121">
        <v>50</v>
      </c>
      <c r="T121">
        <v>45</v>
      </c>
      <c r="U121">
        <v>1</v>
      </c>
      <c r="V121">
        <v>1390</v>
      </c>
      <c r="W121">
        <v>0</v>
      </c>
      <c r="X121">
        <v>0</v>
      </c>
      <c r="Y121">
        <v>1344</v>
      </c>
      <c r="Z121">
        <v>1344</v>
      </c>
      <c r="AA121">
        <v>0</v>
      </c>
      <c r="AB121">
        <v>2734</v>
      </c>
      <c r="AC121">
        <v>3000</v>
      </c>
      <c r="AD121">
        <v>2</v>
      </c>
      <c r="AF121" t="s">
        <v>275</v>
      </c>
      <c r="AG121" t="s">
        <v>111</v>
      </c>
      <c r="AH121" t="s">
        <v>314</v>
      </c>
      <c r="AI121">
        <v>0</v>
      </c>
      <c r="AJ121">
        <v>2</v>
      </c>
      <c r="AK121">
        <v>0</v>
      </c>
      <c r="AL121">
        <v>1</v>
      </c>
      <c r="AM121">
        <v>0</v>
      </c>
      <c r="AN121">
        <v>13</v>
      </c>
      <c r="AO121">
        <v>576</v>
      </c>
      <c r="AP121">
        <v>0</v>
      </c>
      <c r="AQ121">
        <v>576</v>
      </c>
      <c r="AR121">
        <v>0</v>
      </c>
      <c r="AS121">
        <v>272</v>
      </c>
      <c r="AT121">
        <v>0</v>
      </c>
      <c r="AU121">
        <v>0</v>
      </c>
      <c r="AV121">
        <v>100</v>
      </c>
      <c r="AW121">
        <v>100</v>
      </c>
      <c r="AX121">
        <v>472017</v>
      </c>
      <c r="AY121">
        <v>396494</v>
      </c>
      <c r="AZ121">
        <v>1035</v>
      </c>
      <c r="BA121">
        <v>365</v>
      </c>
      <c r="BB121">
        <v>365</v>
      </c>
      <c r="BC121">
        <v>305</v>
      </c>
      <c r="BD121" s="6">
        <v>44257</v>
      </c>
      <c r="BE121" t="s">
        <v>36</v>
      </c>
      <c r="BF121">
        <v>465000</v>
      </c>
      <c r="BG121">
        <v>441785</v>
      </c>
      <c r="BH121" t="s">
        <v>198</v>
      </c>
      <c r="BI121">
        <v>30</v>
      </c>
      <c r="BJ121" t="s">
        <v>51</v>
      </c>
      <c r="BK121" t="s">
        <v>314</v>
      </c>
      <c r="BL121">
        <v>490700</v>
      </c>
      <c r="BM121">
        <v>99200</v>
      </c>
      <c r="BN121">
        <v>391500</v>
      </c>
      <c r="BO121">
        <v>23215</v>
      </c>
      <c r="BP121">
        <v>1.055268817204301</v>
      </c>
      <c r="BQ121">
        <v>418709.48609862418</v>
      </c>
      <c r="BR121">
        <v>535829.58797222772</v>
      </c>
      <c r="BS121" s="7">
        <f>(BR121-BL121)/BL121</f>
        <v>9.1969814494044663E-2</v>
      </c>
      <c r="BT121" s="14">
        <f>(Sales[[#This Row],[DP1]]*Lookups!$B$51)+(Sales[[#This Row],[DP2]]*Lookups!$B$52)+(Sales[[#This Row],[DP3]]*Lookups!$B$53)</f>
        <v>-117120.10071000001</v>
      </c>
      <c r="BU121" s="14">
        <f>Lookups!$B$48*0.5</f>
        <v>87214.824999999997</v>
      </c>
      <c r="BV121" s="14">
        <f>Lookups!$B$48*0.5</f>
        <v>87214.824999999997</v>
      </c>
      <c r="BW121" s="14">
        <f>Lookups!$B$49*Sales[[#This Row],[LnAcres]]</f>
        <v>-27000.28206812881</v>
      </c>
      <c r="BX121" s="14">
        <f>VLOOKUP(Sales[[#This Row],[Qlty]],Lookups!$A$54:$E$67,2,FALSE)</f>
        <v>-14329.694740000001</v>
      </c>
      <c r="BY121" s="14">
        <f>VLOOKUP(Sales[[#This Row],[Cnd]],Lookups!$A$68:$E$76,2,FALSE)</f>
        <v>47273.897095</v>
      </c>
      <c r="BZ121" s="14">
        <f>Sales[[#This Row],[Age]]*Lookups!$B$77</f>
        <v>9225.6214999999993</v>
      </c>
      <c r="CA121" s="14">
        <f>Sales[[#This Row],[MainFn]]*Lookups!$B$78</f>
        <v>96026.008010000005</v>
      </c>
      <c r="CB121" s="14">
        <f>Sales[[#This Row],[UpprFn]]*Lookups!$B$79</f>
        <v>0</v>
      </c>
      <c r="CC121" s="14">
        <f>Sales[[#This Row],[AddFn]]*Lookups!$B$80</f>
        <v>0</v>
      </c>
      <c r="CD121" s="14">
        <f>Sales[[#This Row],[Bsmt]]*Lookups!$B$81</f>
        <v>38450.036351999996</v>
      </c>
      <c r="CE121" s="14">
        <f>Sales[[#This Row],[Fixtures]]*Lookups!$B$84</f>
        <v>132016.30000000002</v>
      </c>
      <c r="CF121" s="14">
        <f>Sales[[#This Row],[MsnryFP]]*Lookups!$B$82</f>
        <v>50547.245999999999</v>
      </c>
      <c r="CG121" s="14">
        <f>Sales[[#This Row],[PrefabFP]]*Lookups!$B$83</f>
        <v>0</v>
      </c>
      <c r="CH121" s="14">
        <f>Sales[[#This Row],[GarageArea]]*Lookups!$B$85</f>
        <v>29190.814272</v>
      </c>
      <c r="CI121" s="14">
        <f>SUM(Sales[[#This Row],[Days Prior Total]:[Mdl GarageArea]])</f>
        <v>418709.49571087112</v>
      </c>
      <c r="CJ121" s="14">
        <f>ROUND(Sales[[#This Row],[25Det]],-2)</f>
        <v>23200</v>
      </c>
      <c r="CK121" s="14">
        <f>ROUND(SUM(Sales[[#This Row],[Mdl Qlty]:[Mdl GarageArea]])+Sales[[#This Row],[Mdl Res Intercept]]+Sales[[#This Row],[Days Prior Total]],-2)</f>
        <v>358500</v>
      </c>
      <c r="CL121" s="14">
        <f>ROUND(Sales[[#This Row],[Mdl Land Intercept]]+Sales[[#This Row],[Mdl LnAcres]],-2)</f>
        <v>60200</v>
      </c>
      <c r="CM121" s="14">
        <f>Sales[[#This Row],[Unadj Res Value]]+Sales[[#This Row],[Unadj Det Value]]+Sales[[#This Row],[Unadj Land Value]]</f>
        <v>441900</v>
      </c>
      <c r="CN121" s="15">
        <f>Sales[[#This Row],[Unadj Total Value]]/Sales[[#This Row],[Price]]</f>
        <v>0.95032258064516129</v>
      </c>
      <c r="CO121" s="15">
        <f>(Sales[[#This Row],[Unadj Total Value]]-Sales[[#This Row],[24Final]])/Sales[[#This Row],[24Final]]</f>
        <v>-9.9449765640921131E-2</v>
      </c>
      <c r="CP121">
        <f>VLOOKUP(Sales[[#This Row],[TNbhd]],Lookups!$M$2:$P$4,4,FALSE)</f>
        <v>0.97570000000000001</v>
      </c>
      <c r="CQ121">
        <f>VLOOKUP(Sales[[#This Row],[Qlty]],Lookups!$M$6:$P$20,4,FALSE)</f>
        <v>0.98809999999999998</v>
      </c>
      <c r="CR121">
        <f>VLOOKUP(Sales[[#This Row],[Cnd]],Lookups!$R$6:$U$15,4,FALSE)</f>
        <v>0.97829999999999995</v>
      </c>
      <c r="CS121">
        <f>VLOOKUP(Sales[[#This Row],[LivArea Range]],Lookups!$R$23:$U$39,4,FALSE)</f>
        <v>0.93310000000000004</v>
      </c>
      <c r="CT121">
        <f>VLOOKUP(Sales[[#This Row],[Decade]],Lookups!$M$23:$P$35,4,FALSE)</f>
        <v>1.0153000000000001</v>
      </c>
      <c r="CU121">
        <f>Sales[[#This Row],[Nbhd Adj]]*0.95</f>
        <v>0.92691499999999993</v>
      </c>
      <c r="CV121">
        <f>Sales[[#This Row],[Nbhd Adj]]*Sales[[#This Row],[Quality Adj]]*Sales[[#This Row],[Condition Adj]]*Sales[[#This Row],[Living Area Adj]]*Sales[[#This Row],[Decade Adj]]*0.95</f>
        <v>0.84885876760693768</v>
      </c>
      <c r="CW121">
        <f>ROUND(SUM(Sales[[#This Row],[Mdl Qlty]:[Mdl GarageArea]])+Sales[[#This Row],[Mdl Res Intercept]]*Sales[[#This Row],[Res Adj ]],-2)</f>
        <v>462400</v>
      </c>
      <c r="CX121">
        <f>ROUND(Sales[[#This Row],[25Det]]*Sales[[#This Row],[Det/Nbhd Adj]],-2)</f>
        <v>21500</v>
      </c>
      <c r="CY121">
        <f>Sales[[#This Row],[Adjusted Res]]+Sales[[#This Row],[Adj Det ]]</f>
        <v>483900</v>
      </c>
      <c r="CZ121">
        <f>ROUND((Sales[[#This Row],[Mdl Land Intercept]]+Sales[[#This Row],[Mdl LnAcres]])*Sales[[#This Row],[Det/Nbhd Adj]],-2)</f>
        <v>55800</v>
      </c>
      <c r="DA121">
        <f>Sales[[#This Row],[Adjusted Impr Total]]+Sales[[#This Row],[Adjusted Land Total]]</f>
        <v>539700</v>
      </c>
      <c r="DB121">
        <f>IFERROR((Sales[[#This Row],[Adjusted Impr Total]]-Sales[[#This Row],[24Bldg]])/Sales[[#This Row],[24Bldg]],0)</f>
        <v>0.23601532567049807</v>
      </c>
      <c r="DC121">
        <f>(Sales[[#This Row],[Adjusted Land Total]]-Sales[[#This Row],[24Lnd]])/Sales[[#This Row],[24Lnd]]</f>
        <v>-0.4375</v>
      </c>
      <c r="DD121">
        <f>(Sales[[#This Row],[Adjusted Total]]-Sales[[#This Row],[24Final]])/Sales[[#This Row],[24Final]]</f>
        <v>9.9857346647646214E-2</v>
      </c>
      <c r="DE121">
        <f>(Sales[[#This Row],[Adjusted Total]]+Sales[[#This Row],[Days Prior Total]])/Sales[[#This Row],[Price]]</f>
        <v>0.90877397696774187</v>
      </c>
    </row>
    <row r="122" spans="1:109" x14ac:dyDescent="0.3">
      <c r="A122">
        <v>2025</v>
      </c>
      <c r="B122">
        <v>18131523024</v>
      </c>
      <c r="C122">
        <v>-1.1711829815029451</v>
      </c>
      <c r="D122">
        <v>0.31</v>
      </c>
      <c r="E122">
        <v>13382</v>
      </c>
      <c r="F122">
        <v>5</v>
      </c>
      <c r="G122" t="s">
        <v>89</v>
      </c>
      <c r="H122">
        <v>3041</v>
      </c>
      <c r="I122" t="s">
        <v>302</v>
      </c>
      <c r="J122" t="s">
        <v>26</v>
      </c>
      <c r="K122">
        <v>11</v>
      </c>
      <c r="L122">
        <v>259</v>
      </c>
      <c r="M122" t="s">
        <v>204</v>
      </c>
      <c r="N122" t="s">
        <v>75</v>
      </c>
      <c r="O122" t="s">
        <v>207</v>
      </c>
      <c r="P122">
        <v>1974</v>
      </c>
      <c r="Q122">
        <v>1979</v>
      </c>
      <c r="R122">
        <v>50</v>
      </c>
      <c r="S122">
        <v>50</v>
      </c>
      <c r="T122">
        <v>45</v>
      </c>
      <c r="U122">
        <v>1</v>
      </c>
      <c r="V122">
        <v>2200</v>
      </c>
      <c r="W122">
        <v>0</v>
      </c>
      <c r="X122">
        <v>0</v>
      </c>
      <c r="Y122">
        <v>484</v>
      </c>
      <c r="Z122">
        <v>484</v>
      </c>
      <c r="AA122">
        <v>0</v>
      </c>
      <c r="AB122">
        <v>2684</v>
      </c>
      <c r="AC122">
        <v>3000</v>
      </c>
      <c r="AD122">
        <v>2</v>
      </c>
      <c r="AF122" t="s">
        <v>275</v>
      </c>
      <c r="AG122" t="s">
        <v>111</v>
      </c>
      <c r="AH122" t="s">
        <v>314</v>
      </c>
      <c r="AI122">
        <v>0</v>
      </c>
      <c r="AJ122">
        <v>0</v>
      </c>
      <c r="AK122">
        <v>1</v>
      </c>
      <c r="AL122">
        <v>1</v>
      </c>
      <c r="AM122">
        <v>0</v>
      </c>
      <c r="AN122">
        <v>13</v>
      </c>
      <c r="AO122">
        <v>484</v>
      </c>
      <c r="AP122">
        <v>0</v>
      </c>
      <c r="AQ122">
        <v>484</v>
      </c>
      <c r="AR122">
        <v>0</v>
      </c>
      <c r="AS122">
        <v>937</v>
      </c>
      <c r="AT122">
        <v>0</v>
      </c>
      <c r="AU122">
        <v>487</v>
      </c>
      <c r="AV122">
        <v>100</v>
      </c>
      <c r="AW122">
        <v>100</v>
      </c>
      <c r="AX122">
        <v>598062</v>
      </c>
      <c r="AY122">
        <v>502372</v>
      </c>
      <c r="AZ122">
        <v>837</v>
      </c>
      <c r="BA122">
        <v>365</v>
      </c>
      <c r="BB122">
        <v>365</v>
      </c>
      <c r="BC122">
        <v>107</v>
      </c>
      <c r="BD122" s="6">
        <v>44455</v>
      </c>
      <c r="BE122" t="s">
        <v>242</v>
      </c>
      <c r="BF122">
        <v>675000</v>
      </c>
      <c r="BG122">
        <v>645830</v>
      </c>
      <c r="BH122" t="s">
        <v>198</v>
      </c>
      <c r="BI122">
        <v>30</v>
      </c>
      <c r="BJ122" t="s">
        <v>51</v>
      </c>
      <c r="BK122" t="s">
        <v>314</v>
      </c>
      <c r="BL122">
        <v>606900</v>
      </c>
      <c r="BM122">
        <v>94000</v>
      </c>
      <c r="BN122">
        <v>512900</v>
      </c>
      <c r="BO122">
        <v>29170</v>
      </c>
      <c r="BP122">
        <v>0.89911111111111108</v>
      </c>
      <c r="BQ122">
        <v>529252.27306525048</v>
      </c>
      <c r="BR122">
        <v>585272.33739076625</v>
      </c>
      <c r="BS122" s="7">
        <f>(BR122-BL122)/BL122</f>
        <v>-3.5636287047674665E-2</v>
      </c>
      <c r="BT122" s="14">
        <f>(Sales[[#This Row],[DP1]]*Lookups!$B$51)+(Sales[[#This Row],[DP2]]*Lookups!$B$52)+(Sales[[#This Row],[DP3]]*Lookups!$B$53)</f>
        <v>-56020.072710000008</v>
      </c>
      <c r="BU122" s="14">
        <f>Lookups!$B$48*0.5</f>
        <v>87214.824999999997</v>
      </c>
      <c r="BV122" s="14">
        <f>Lookups!$B$48*0.5</f>
        <v>87214.824999999997</v>
      </c>
      <c r="BW122" s="14">
        <f>Lookups!$B$49*Sales[[#This Row],[LnAcres]]</f>
        <v>-29312.187298876561</v>
      </c>
      <c r="BX122" s="14">
        <f>VLOOKUP(Sales[[#This Row],[Qlty]],Lookups!$A$54:$E$67,2,FALSE)</f>
        <v>19189.450408000001</v>
      </c>
      <c r="BY122" s="14">
        <f>VLOOKUP(Sales[[#This Row],[Cnd]],Lookups!$A$68:$E$76,2,FALSE)</f>
        <v>47273.897095</v>
      </c>
      <c r="BZ122" s="14">
        <f>Sales[[#This Row],[Age]]*Lookups!$B$77</f>
        <v>9225.6214999999993</v>
      </c>
      <c r="CA122" s="14">
        <f>Sales[[#This Row],[MainFn]]*Lookups!$B$78</f>
        <v>151983.60980000001</v>
      </c>
      <c r="CB122" s="14">
        <f>Sales[[#This Row],[UpprFn]]*Lookups!$B$79</f>
        <v>0</v>
      </c>
      <c r="CC122" s="14">
        <f>Sales[[#This Row],[AddFn]]*Lookups!$B$80</f>
        <v>0</v>
      </c>
      <c r="CD122" s="14">
        <f>Sales[[#This Row],[Bsmt]]*Lookups!$B$81</f>
        <v>13846.590472</v>
      </c>
      <c r="CE122" s="14">
        <f>Sales[[#This Row],[Fixtures]]*Lookups!$B$84</f>
        <v>132016.30000000002</v>
      </c>
      <c r="CF122" s="14">
        <f>Sales[[#This Row],[MsnryFP]]*Lookups!$B$82</f>
        <v>0</v>
      </c>
      <c r="CG122" s="14">
        <f>Sales[[#This Row],[PrefabFP]]*Lookups!$B$83</f>
        <v>42091.021999999997</v>
      </c>
      <c r="CH122" s="14">
        <f>Sales[[#This Row],[GarageArea]]*Lookups!$B$85</f>
        <v>24528.392548</v>
      </c>
      <c r="CI122" s="14">
        <f>SUM(Sales[[#This Row],[Days Prior Total]:[Mdl GarageArea]])</f>
        <v>529252.27381412347</v>
      </c>
      <c r="CJ122" s="14">
        <f>ROUND(Sales[[#This Row],[25Det]],-2)</f>
        <v>29200</v>
      </c>
      <c r="CK122" s="14">
        <f>ROUND(SUM(Sales[[#This Row],[Mdl Qlty]:[Mdl GarageArea]])+Sales[[#This Row],[Mdl Res Intercept]]+Sales[[#This Row],[Days Prior Total]],-2)</f>
        <v>471300</v>
      </c>
      <c r="CL122" s="14">
        <f>ROUND(Sales[[#This Row],[Mdl Land Intercept]]+Sales[[#This Row],[Mdl LnAcres]],-2)</f>
        <v>57900</v>
      </c>
      <c r="CM122" s="14">
        <f>Sales[[#This Row],[Unadj Res Value]]+Sales[[#This Row],[Unadj Det Value]]+Sales[[#This Row],[Unadj Land Value]]</f>
        <v>558400</v>
      </c>
      <c r="CN122" s="15">
        <f>Sales[[#This Row],[Unadj Total Value]]/Sales[[#This Row],[Price]]</f>
        <v>0.82725925925925925</v>
      </c>
      <c r="CO122" s="15">
        <f>(Sales[[#This Row],[Unadj Total Value]]-Sales[[#This Row],[24Final]])/Sales[[#This Row],[24Final]]</f>
        <v>-7.991431866864393E-2</v>
      </c>
      <c r="CP122">
        <f>VLOOKUP(Sales[[#This Row],[TNbhd]],Lookups!$M$2:$P$4,4,FALSE)</f>
        <v>0.97570000000000001</v>
      </c>
      <c r="CQ122">
        <f>VLOOKUP(Sales[[#This Row],[Qlty]],Lookups!$M$6:$P$20,4,FALSE)</f>
        <v>0.9819</v>
      </c>
      <c r="CR122">
        <f>VLOOKUP(Sales[[#This Row],[Cnd]],Lookups!$R$6:$U$15,4,FALSE)</f>
        <v>0.97829999999999995</v>
      </c>
      <c r="CS122">
        <f>VLOOKUP(Sales[[#This Row],[LivArea Range]],Lookups!$R$23:$U$39,4,FALSE)</f>
        <v>0.93310000000000004</v>
      </c>
      <c r="CT122">
        <f>VLOOKUP(Sales[[#This Row],[Decade]],Lookups!$M$23:$P$35,4,FALSE)</f>
        <v>1.0153000000000001</v>
      </c>
      <c r="CU122">
        <f>Sales[[#This Row],[Nbhd Adj]]*0.95</f>
        <v>0.92691499999999993</v>
      </c>
      <c r="CV122">
        <f>Sales[[#This Row],[Nbhd Adj]]*Sales[[#This Row],[Quality Adj]]*Sales[[#This Row],[Condition Adj]]*Sales[[#This Row],[Living Area Adj]]*Sales[[#This Row],[Decade Adj]]*0.95</f>
        <v>0.84353246018950745</v>
      </c>
      <c r="CW122">
        <f>ROUND(SUM(Sales[[#This Row],[Mdl Qlty]:[Mdl GarageArea]])+Sales[[#This Row],[Mdl Res Intercept]]*Sales[[#This Row],[Res Adj ]],-2)</f>
        <v>513700</v>
      </c>
      <c r="CX122">
        <f>ROUND(Sales[[#This Row],[25Det]]*Sales[[#This Row],[Det/Nbhd Adj]],-2)</f>
        <v>27000</v>
      </c>
      <c r="CY122">
        <f>Sales[[#This Row],[Adjusted Res]]+Sales[[#This Row],[Adj Det ]]</f>
        <v>540700</v>
      </c>
      <c r="CZ122">
        <f>ROUND((Sales[[#This Row],[Mdl Land Intercept]]+Sales[[#This Row],[Mdl LnAcres]])*Sales[[#This Row],[Det/Nbhd Adj]],-2)</f>
        <v>53700</v>
      </c>
      <c r="DA122">
        <f>Sales[[#This Row],[Adjusted Impr Total]]+Sales[[#This Row],[Adjusted Land Total]]</f>
        <v>594400</v>
      </c>
      <c r="DB122">
        <f>IFERROR((Sales[[#This Row],[Adjusted Impr Total]]-Sales[[#This Row],[24Bldg]])/Sales[[#This Row],[24Bldg]],0)</f>
        <v>5.4201598752193408E-2</v>
      </c>
      <c r="DC122">
        <f>(Sales[[#This Row],[Adjusted Land Total]]-Sales[[#This Row],[24Lnd]])/Sales[[#This Row],[24Lnd]]</f>
        <v>-0.42872340425531913</v>
      </c>
      <c r="DD122">
        <f>(Sales[[#This Row],[Adjusted Total]]-Sales[[#This Row],[24Final]])/Sales[[#This Row],[24Final]]</f>
        <v>-2.0596473883671116E-2</v>
      </c>
      <c r="DE122">
        <f>(Sales[[#This Row],[Adjusted Total]]+Sales[[#This Row],[Days Prior Total]])/Sales[[#This Row],[Price]]</f>
        <v>0.79759989228148154</v>
      </c>
    </row>
    <row r="123" spans="1:109" x14ac:dyDescent="0.3">
      <c r="A123">
        <v>2025</v>
      </c>
      <c r="B123">
        <v>18131623400</v>
      </c>
      <c r="C123">
        <v>1.0188473201992472</v>
      </c>
      <c r="D123">
        <v>2.77</v>
      </c>
      <c r="E123">
        <v>120874</v>
      </c>
      <c r="F123">
        <v>5</v>
      </c>
      <c r="G123" t="s">
        <v>89</v>
      </c>
      <c r="H123">
        <v>3042</v>
      </c>
      <c r="I123" t="s">
        <v>302</v>
      </c>
      <c r="J123" t="s">
        <v>110</v>
      </c>
      <c r="K123">
        <v>11</v>
      </c>
      <c r="L123">
        <v>259</v>
      </c>
      <c r="M123" t="s">
        <v>172</v>
      </c>
      <c r="N123" t="s">
        <v>205</v>
      </c>
      <c r="O123" t="s">
        <v>207</v>
      </c>
      <c r="P123">
        <v>1973</v>
      </c>
      <c r="Q123">
        <v>1978</v>
      </c>
      <c r="R123">
        <v>60</v>
      </c>
      <c r="S123">
        <v>51</v>
      </c>
      <c r="T123">
        <v>46</v>
      </c>
      <c r="U123">
        <v>1</v>
      </c>
      <c r="V123">
        <v>1645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1645</v>
      </c>
      <c r="AC123">
        <v>2000</v>
      </c>
      <c r="AD123">
        <v>1</v>
      </c>
      <c r="AE123" t="s">
        <v>5</v>
      </c>
      <c r="AF123" t="s">
        <v>275</v>
      </c>
      <c r="AG123" t="s">
        <v>274</v>
      </c>
      <c r="AH123" t="s">
        <v>314</v>
      </c>
      <c r="AI123">
        <v>0</v>
      </c>
      <c r="AJ123">
        <v>1</v>
      </c>
      <c r="AK123">
        <v>0</v>
      </c>
      <c r="AL123">
        <v>1</v>
      </c>
      <c r="AM123">
        <v>0</v>
      </c>
      <c r="AN123">
        <v>9</v>
      </c>
      <c r="AO123">
        <v>405</v>
      </c>
      <c r="AP123">
        <v>0</v>
      </c>
      <c r="AQ123">
        <v>405</v>
      </c>
      <c r="AR123">
        <v>0</v>
      </c>
      <c r="AS123">
        <v>0</v>
      </c>
      <c r="AT123">
        <v>504</v>
      </c>
      <c r="AU123">
        <v>504</v>
      </c>
      <c r="AV123">
        <v>100</v>
      </c>
      <c r="AW123">
        <v>100</v>
      </c>
      <c r="AX123">
        <v>301379</v>
      </c>
      <c r="AY123">
        <v>232062</v>
      </c>
      <c r="AZ123">
        <v>286</v>
      </c>
      <c r="BA123">
        <v>286</v>
      </c>
      <c r="BB123">
        <v>0</v>
      </c>
      <c r="BC123">
        <v>0</v>
      </c>
      <c r="BD123" s="6">
        <v>45006</v>
      </c>
      <c r="BE123" t="s">
        <v>94</v>
      </c>
      <c r="BF123">
        <v>450000</v>
      </c>
      <c r="BG123">
        <v>410075</v>
      </c>
      <c r="BH123" t="s">
        <v>198</v>
      </c>
      <c r="BI123">
        <v>30</v>
      </c>
      <c r="BJ123" t="s">
        <v>51</v>
      </c>
      <c r="BK123" t="s">
        <v>314</v>
      </c>
      <c r="BL123">
        <v>564400</v>
      </c>
      <c r="BM123">
        <v>218400</v>
      </c>
      <c r="BN123">
        <v>346000</v>
      </c>
      <c r="BO123">
        <v>39925</v>
      </c>
      <c r="BP123">
        <v>1.2542222222222221</v>
      </c>
      <c r="BQ123">
        <v>431901.84448042139</v>
      </c>
      <c r="BR123">
        <v>477136.16581899958</v>
      </c>
      <c r="BS123" s="7">
        <f>(BR123-BL123)/BL123</f>
        <v>-0.1546134553171517</v>
      </c>
      <c r="BT123" s="14">
        <f>(Sales[[#This Row],[DP1]]*Lookups!$B$51)+(Sales[[#This Row],[DP2]]*Lookups!$B$52)+(Sales[[#This Row],[DP3]]*Lookups!$B$53)</f>
        <v>-45234.332000000002</v>
      </c>
      <c r="BU123" s="14">
        <f>Lookups!$B$48*0.5</f>
        <v>87214.824999999997</v>
      </c>
      <c r="BV123" s="14">
        <f>Lookups!$B$48*0.5</f>
        <v>87214.824999999997</v>
      </c>
      <c r="BW123" s="14">
        <f>Lookups!$B$49*Sales[[#This Row],[LnAcres]]</f>
        <v>25499.553827459447</v>
      </c>
      <c r="BX123" s="14">
        <f>VLOOKUP(Sales[[#This Row],[Qlty]],Lookups!$A$54:$E$67,2,FALSE)</f>
        <v>30313.66692</v>
      </c>
      <c r="BY123" s="14">
        <f>VLOOKUP(Sales[[#This Row],[Cnd]],Lookups!$A$68:$E$76,2,FALSE)</f>
        <v>47273.897095</v>
      </c>
      <c r="BZ123" s="14">
        <f>Sales[[#This Row],[Age]]*Lookups!$B$77</f>
        <v>9410.13393</v>
      </c>
      <c r="CA123" s="14">
        <f>Sales[[#This Row],[MainFn]]*Lookups!$B$78</f>
        <v>113642.290055</v>
      </c>
      <c r="CB123" s="14">
        <f>Sales[[#This Row],[UpprFn]]*Lookups!$B$79</f>
        <v>0</v>
      </c>
      <c r="CC123" s="14">
        <f>Sales[[#This Row],[AddFn]]*Lookups!$B$80</f>
        <v>0</v>
      </c>
      <c r="CD123" s="14">
        <f>Sales[[#This Row],[Bsmt]]*Lookups!$B$81</f>
        <v>0</v>
      </c>
      <c r="CE123" s="14">
        <f>Sales[[#This Row],[Fixtures]]*Lookups!$B$84</f>
        <v>91395.900000000009</v>
      </c>
      <c r="CF123" s="14">
        <f>Sales[[#This Row],[MsnryFP]]*Lookups!$B$82</f>
        <v>25273.623</v>
      </c>
      <c r="CG123" s="14">
        <f>Sales[[#This Row],[PrefabFP]]*Lookups!$B$83</f>
        <v>0</v>
      </c>
      <c r="CH123" s="14">
        <f>Sales[[#This Row],[GarageArea]]*Lookups!$B$85</f>
        <v>20524.791284999999</v>
      </c>
      <c r="CI123" s="14">
        <f>SUM(Sales[[#This Row],[Days Prior Total]:[Mdl GarageArea]])</f>
        <v>492529.17411245947</v>
      </c>
      <c r="CJ123" s="14">
        <f>ROUND(Sales[[#This Row],[25Det]],-2)</f>
        <v>39900</v>
      </c>
      <c r="CK123" s="14">
        <f>ROUND(SUM(Sales[[#This Row],[Mdl Qlty]:[Mdl GarageArea]])+Sales[[#This Row],[Mdl Res Intercept]]+Sales[[#This Row],[Days Prior Total]],-2)</f>
        <v>379800</v>
      </c>
      <c r="CL123" s="14">
        <f>ROUND(Sales[[#This Row],[Mdl Land Intercept]]+Sales[[#This Row],[Mdl LnAcres]],-2)</f>
        <v>112700</v>
      </c>
      <c r="CM123" s="14">
        <f>Sales[[#This Row],[Unadj Res Value]]+Sales[[#This Row],[Unadj Det Value]]+Sales[[#This Row],[Unadj Land Value]]</f>
        <v>532400</v>
      </c>
      <c r="CN123" s="15">
        <f>Sales[[#This Row],[Unadj Total Value]]/Sales[[#This Row],[Price]]</f>
        <v>1.183111111111111</v>
      </c>
      <c r="CO123" s="15">
        <f>(Sales[[#This Row],[Unadj Total Value]]-Sales[[#This Row],[24Final]])/Sales[[#This Row],[24Final]]</f>
        <v>-5.6697377746279233E-2</v>
      </c>
      <c r="CP123">
        <f>VLOOKUP(Sales[[#This Row],[TNbhd]],Lookups!$M$2:$P$4,4,FALSE)</f>
        <v>0.97570000000000001</v>
      </c>
      <c r="CQ123">
        <f>VLOOKUP(Sales[[#This Row],[Qlty]],Lookups!$M$6:$P$20,4,FALSE)</f>
        <v>0.85299999999999998</v>
      </c>
      <c r="CR123">
        <f>VLOOKUP(Sales[[#This Row],[Cnd]],Lookups!$R$6:$U$15,4,FALSE)</f>
        <v>0.97829999999999995</v>
      </c>
      <c r="CS123">
        <f>VLOOKUP(Sales[[#This Row],[LivArea Range]],Lookups!$R$23:$U$39,4,FALSE)</f>
        <v>0.99099999999999999</v>
      </c>
      <c r="CT123">
        <f>VLOOKUP(Sales[[#This Row],[Decade]],Lookups!$M$23:$P$35,4,FALSE)</f>
        <v>0.97289999999999999</v>
      </c>
      <c r="CU123">
        <f>Sales[[#This Row],[Nbhd Adj]]*0.95</f>
        <v>0.92691499999999993</v>
      </c>
      <c r="CV123">
        <f>Sales[[#This Row],[Nbhd Adj]]*Sales[[#This Row],[Quality Adj]]*Sales[[#This Row],[Condition Adj]]*Sales[[#This Row],[Living Area Adj]]*Sales[[#This Row],[Decade Adj]]*0.95</f>
        <v>0.74576646907828814</v>
      </c>
      <c r="CW123">
        <f>ROUND(SUM(Sales[[#This Row],[Mdl Qlty]:[Mdl GarageArea]])+Sales[[#This Row],[Mdl Res Intercept]]*Sales[[#This Row],[Res Adj ]],-2)</f>
        <v>402900</v>
      </c>
      <c r="CX123">
        <f>ROUND(Sales[[#This Row],[25Det]]*Sales[[#This Row],[Det/Nbhd Adj]],-2)</f>
        <v>37000</v>
      </c>
      <c r="CY123">
        <f>Sales[[#This Row],[Adjusted Res]]+Sales[[#This Row],[Adj Det ]]</f>
        <v>439900</v>
      </c>
      <c r="CZ123">
        <f>ROUND((Sales[[#This Row],[Mdl Land Intercept]]+Sales[[#This Row],[Mdl LnAcres]])*Sales[[#This Row],[Det/Nbhd Adj]],-2)</f>
        <v>104500</v>
      </c>
      <c r="DA123">
        <f>Sales[[#This Row],[Adjusted Impr Total]]+Sales[[#This Row],[Adjusted Land Total]]</f>
        <v>544400</v>
      </c>
      <c r="DB123">
        <f>IFERROR((Sales[[#This Row],[Adjusted Impr Total]]-Sales[[#This Row],[24Bldg]])/Sales[[#This Row],[24Bldg]],0)</f>
        <v>0.27138728323699424</v>
      </c>
      <c r="DC123">
        <f>(Sales[[#This Row],[Adjusted Land Total]]-Sales[[#This Row],[24Lnd]])/Sales[[#This Row],[24Lnd]]</f>
        <v>-0.52152014652014655</v>
      </c>
      <c r="DD123">
        <f>(Sales[[#This Row],[Adjusted Total]]-Sales[[#This Row],[24Final]])/Sales[[#This Row],[24Final]]</f>
        <v>-3.543586109142452E-2</v>
      </c>
      <c r="DE123">
        <f>(Sales[[#This Row],[Adjusted Total]]+Sales[[#This Row],[Days Prior Total]])/Sales[[#This Row],[Price]]</f>
        <v>1.1092570399999999</v>
      </c>
    </row>
    <row r="124" spans="1:109" x14ac:dyDescent="0.3">
      <c r="A124">
        <v>2025</v>
      </c>
      <c r="B124">
        <v>18131524442</v>
      </c>
      <c r="C124">
        <v>-0.916290731874155</v>
      </c>
      <c r="D124">
        <v>0.4</v>
      </c>
      <c r="E124">
        <v>17631</v>
      </c>
      <c r="F124">
        <v>5</v>
      </c>
      <c r="G124" t="s">
        <v>89</v>
      </c>
      <c r="H124">
        <v>3041</v>
      </c>
      <c r="I124" t="s">
        <v>302</v>
      </c>
      <c r="J124" t="s">
        <v>26</v>
      </c>
      <c r="K124">
        <v>11</v>
      </c>
      <c r="L124">
        <v>259</v>
      </c>
      <c r="M124" t="s">
        <v>172</v>
      </c>
      <c r="N124" t="s">
        <v>111</v>
      </c>
      <c r="O124" t="s">
        <v>231</v>
      </c>
      <c r="P124">
        <v>1973</v>
      </c>
      <c r="Q124">
        <v>1978</v>
      </c>
      <c r="R124">
        <v>60</v>
      </c>
      <c r="S124">
        <v>51</v>
      </c>
      <c r="T124">
        <v>46</v>
      </c>
      <c r="U124">
        <v>1</v>
      </c>
      <c r="V124">
        <v>1727</v>
      </c>
      <c r="W124">
        <v>0</v>
      </c>
      <c r="X124">
        <v>0</v>
      </c>
      <c r="Y124">
        <v>1140</v>
      </c>
      <c r="Z124">
        <v>1122</v>
      </c>
      <c r="AA124">
        <v>18</v>
      </c>
      <c r="AB124">
        <v>2849</v>
      </c>
      <c r="AC124">
        <v>3000</v>
      </c>
      <c r="AD124">
        <v>2</v>
      </c>
      <c r="AF124" t="s">
        <v>275</v>
      </c>
      <c r="AG124" t="s">
        <v>111</v>
      </c>
      <c r="AH124" t="s">
        <v>314</v>
      </c>
      <c r="AI124">
        <v>0</v>
      </c>
      <c r="AJ124">
        <v>1</v>
      </c>
      <c r="AK124">
        <v>0</v>
      </c>
      <c r="AL124">
        <v>2</v>
      </c>
      <c r="AM124">
        <v>0</v>
      </c>
      <c r="AN124">
        <v>11</v>
      </c>
      <c r="AO124">
        <v>514</v>
      </c>
      <c r="AP124">
        <v>0</v>
      </c>
      <c r="AQ124">
        <v>514</v>
      </c>
      <c r="AR124">
        <v>0</v>
      </c>
      <c r="AS124">
        <v>0</v>
      </c>
      <c r="AT124">
        <v>0</v>
      </c>
      <c r="AU124">
        <v>0</v>
      </c>
      <c r="AV124">
        <v>100</v>
      </c>
      <c r="AW124">
        <v>100</v>
      </c>
      <c r="AX124">
        <v>486790</v>
      </c>
      <c r="AY124">
        <v>374828</v>
      </c>
      <c r="AZ124">
        <v>762</v>
      </c>
      <c r="BA124">
        <v>365</v>
      </c>
      <c r="BB124">
        <v>365</v>
      </c>
      <c r="BC124">
        <v>32</v>
      </c>
      <c r="BD124" s="6">
        <v>44530</v>
      </c>
      <c r="BE124" t="s">
        <v>54</v>
      </c>
      <c r="BF124">
        <v>450000</v>
      </c>
      <c r="BG124">
        <v>450000</v>
      </c>
      <c r="BH124" t="s">
        <v>198</v>
      </c>
      <c r="BI124">
        <v>30</v>
      </c>
      <c r="BJ124" t="s">
        <v>51</v>
      </c>
      <c r="BK124" t="s">
        <v>314</v>
      </c>
      <c r="BL124">
        <v>411200</v>
      </c>
      <c r="BM124">
        <v>108500</v>
      </c>
      <c r="BN124">
        <v>302700</v>
      </c>
      <c r="BO124">
        <v>0</v>
      </c>
      <c r="BP124">
        <v>0.9137777777777778</v>
      </c>
      <c r="BQ124">
        <v>428650.66175105545</v>
      </c>
      <c r="BR124">
        <v>461526.77245987148</v>
      </c>
      <c r="BS124" s="7">
        <f>(BR124-BL124)/BL124</f>
        <v>0.12239001084599097</v>
      </c>
      <c r="BT124" s="14">
        <f>(Sales[[#This Row],[DP1]]*Lookups!$B$51)+(Sales[[#This Row],[DP2]]*Lookups!$B$52)+(Sales[[#This Row],[DP3]]*Lookups!$B$53)</f>
        <v>-32876.122710000003</v>
      </c>
      <c r="BU124" s="14">
        <f>Lookups!$B$48*0.5</f>
        <v>87214.824999999997</v>
      </c>
      <c r="BV124" s="14">
        <f>Lookups!$B$48*0.5</f>
        <v>87214.824999999997</v>
      </c>
      <c r="BW124" s="14">
        <f>Lookups!$B$49*Sales[[#This Row],[LnAcres]]</f>
        <v>-22932.783328573645</v>
      </c>
      <c r="BX124" s="14">
        <f>VLOOKUP(Sales[[#This Row],[Qlty]],Lookups!$A$54:$E$67,2,FALSE)</f>
        <v>-14329.694740000001</v>
      </c>
      <c r="BY124" s="14">
        <f>VLOOKUP(Sales[[#This Row],[Cnd]],Lookups!$A$68:$E$76,2,FALSE)</f>
        <v>0</v>
      </c>
      <c r="BZ124" s="14">
        <f>Sales[[#This Row],[Age]]*Lookups!$B$77</f>
        <v>9410.13393</v>
      </c>
      <c r="CA124" s="14">
        <f>Sales[[#This Row],[MainFn]]*Lookups!$B$78</f>
        <v>119307.13369300001</v>
      </c>
      <c r="CB124" s="14">
        <f>Sales[[#This Row],[UpprFn]]*Lookups!$B$79</f>
        <v>0</v>
      </c>
      <c r="CC124" s="14">
        <f>Sales[[#This Row],[AddFn]]*Lookups!$B$80</f>
        <v>0</v>
      </c>
      <c r="CD124" s="14">
        <f>Sales[[#This Row],[Bsmt]]*Lookups!$B$81</f>
        <v>32613.87012</v>
      </c>
      <c r="CE124" s="14">
        <f>Sales[[#This Row],[Fixtures]]*Lookups!$B$84</f>
        <v>111706.1</v>
      </c>
      <c r="CF124" s="14">
        <f>Sales[[#This Row],[MsnryFP]]*Lookups!$B$82</f>
        <v>25273.623</v>
      </c>
      <c r="CG124" s="14">
        <f>Sales[[#This Row],[PrefabFP]]*Lookups!$B$83</f>
        <v>0</v>
      </c>
      <c r="CH124" s="14">
        <f>Sales[[#This Row],[GarageArea]]*Lookups!$B$85</f>
        <v>26048.747458000002</v>
      </c>
      <c r="CI124" s="14">
        <f>SUM(Sales[[#This Row],[Days Prior Total]:[Mdl GarageArea]])</f>
        <v>428650.65742242645</v>
      </c>
      <c r="CJ124" s="14">
        <f>ROUND(Sales[[#This Row],[25Det]],-2)</f>
        <v>0</v>
      </c>
      <c r="CK124" s="14">
        <f>ROUND(SUM(Sales[[#This Row],[Mdl Qlty]:[Mdl GarageArea]])+Sales[[#This Row],[Mdl Res Intercept]]+Sales[[#This Row],[Days Prior Total]],-2)</f>
        <v>364400</v>
      </c>
      <c r="CL124" s="14">
        <f>ROUND(Sales[[#This Row],[Mdl Land Intercept]]+Sales[[#This Row],[Mdl LnAcres]],-2)</f>
        <v>64300</v>
      </c>
      <c r="CM124" s="14">
        <f>Sales[[#This Row],[Unadj Res Value]]+Sales[[#This Row],[Unadj Det Value]]+Sales[[#This Row],[Unadj Land Value]]</f>
        <v>428700</v>
      </c>
      <c r="CN124" s="15">
        <f>Sales[[#This Row],[Unadj Total Value]]/Sales[[#This Row],[Price]]</f>
        <v>0.95266666666666666</v>
      </c>
      <c r="CO124" s="15">
        <f>(Sales[[#This Row],[Unadj Total Value]]-Sales[[#This Row],[24Final]])/Sales[[#This Row],[24Final]]</f>
        <v>4.2558365758754865E-2</v>
      </c>
      <c r="CP124">
        <f>VLOOKUP(Sales[[#This Row],[TNbhd]],Lookups!$M$2:$P$4,4,FALSE)</f>
        <v>0.97570000000000001</v>
      </c>
      <c r="CQ124">
        <f>VLOOKUP(Sales[[#This Row],[Qlty]],Lookups!$M$6:$P$20,4,FALSE)</f>
        <v>0.98809999999999998</v>
      </c>
      <c r="CR124">
        <f>VLOOKUP(Sales[[#This Row],[Cnd]],Lookups!$R$6:$U$15,4,FALSE)</f>
        <v>0.9677</v>
      </c>
      <c r="CS124">
        <f>VLOOKUP(Sales[[#This Row],[LivArea Range]],Lookups!$R$23:$U$39,4,FALSE)</f>
        <v>0.93310000000000004</v>
      </c>
      <c r="CT124">
        <f>VLOOKUP(Sales[[#This Row],[Decade]],Lookups!$M$23:$P$35,4,FALSE)</f>
        <v>0.97289999999999999</v>
      </c>
      <c r="CU124">
        <f>Sales[[#This Row],[Nbhd Adj]]*0.95</f>
        <v>0.92691499999999993</v>
      </c>
      <c r="CV124">
        <f>Sales[[#This Row],[Nbhd Adj]]*Sales[[#This Row],[Quality Adj]]*Sales[[#This Row],[Condition Adj]]*Sales[[#This Row],[Living Area Adj]]*Sales[[#This Row],[Decade Adj]]*0.95</f>
        <v>0.80459613760042237</v>
      </c>
      <c r="CW124">
        <f>ROUND(SUM(Sales[[#This Row],[Mdl Qlty]:[Mdl GarageArea]])+Sales[[#This Row],[Mdl Res Intercept]]*Sales[[#This Row],[Res Adj ]],-2)</f>
        <v>380200</v>
      </c>
      <c r="CX124">
        <f>ROUND(Sales[[#This Row],[25Det]]*Sales[[#This Row],[Det/Nbhd Adj]],-2)</f>
        <v>0</v>
      </c>
      <c r="CY124">
        <f>Sales[[#This Row],[Adjusted Res]]+Sales[[#This Row],[Adj Det ]]</f>
        <v>380200</v>
      </c>
      <c r="CZ124">
        <f>ROUND((Sales[[#This Row],[Mdl Land Intercept]]+Sales[[#This Row],[Mdl LnAcres]])*Sales[[#This Row],[Det/Nbhd Adj]],-2)</f>
        <v>59600</v>
      </c>
      <c r="DA124">
        <f>Sales[[#This Row],[Adjusted Impr Total]]+Sales[[#This Row],[Adjusted Land Total]]</f>
        <v>439800</v>
      </c>
      <c r="DB124">
        <f>IFERROR((Sales[[#This Row],[Adjusted Impr Total]]-Sales[[#This Row],[24Bldg]])/Sales[[#This Row],[24Bldg]],0)</f>
        <v>0.2560290716881401</v>
      </c>
      <c r="DC124">
        <f>(Sales[[#This Row],[Adjusted Land Total]]-Sales[[#This Row],[24Lnd]])/Sales[[#This Row],[24Lnd]]</f>
        <v>-0.45069124423963136</v>
      </c>
      <c r="DD124">
        <f>(Sales[[#This Row],[Adjusted Total]]-Sales[[#This Row],[24Final]])/Sales[[#This Row],[24Final]]</f>
        <v>6.955252918287938E-2</v>
      </c>
      <c r="DE124">
        <f>(Sales[[#This Row],[Adjusted Total]]+Sales[[#This Row],[Days Prior Total]])/Sales[[#This Row],[Price]]</f>
        <v>0.90427528286666659</v>
      </c>
    </row>
    <row r="125" spans="1:109" x14ac:dyDescent="0.3">
      <c r="A125">
        <v>2025</v>
      </c>
      <c r="B125">
        <v>18131532426</v>
      </c>
      <c r="C125">
        <v>-1.5606477482646683</v>
      </c>
      <c r="D125">
        <v>0.21</v>
      </c>
      <c r="E125">
        <v>9176</v>
      </c>
      <c r="F125">
        <v>5</v>
      </c>
      <c r="G125" t="s">
        <v>89</v>
      </c>
      <c r="H125" t="s">
        <v>302</v>
      </c>
      <c r="I125" t="s">
        <v>302</v>
      </c>
      <c r="J125" t="s">
        <v>26</v>
      </c>
      <c r="K125">
        <v>11</v>
      </c>
      <c r="L125">
        <v>259</v>
      </c>
      <c r="M125" t="s">
        <v>172</v>
      </c>
      <c r="N125" t="s">
        <v>111</v>
      </c>
      <c r="O125" t="s">
        <v>207</v>
      </c>
      <c r="P125">
        <v>1973</v>
      </c>
      <c r="Q125">
        <v>1978</v>
      </c>
      <c r="R125">
        <v>60</v>
      </c>
      <c r="S125">
        <v>51</v>
      </c>
      <c r="T125">
        <v>46</v>
      </c>
      <c r="U125">
        <v>1</v>
      </c>
      <c r="V125">
        <v>1540</v>
      </c>
      <c r="W125">
        <v>0</v>
      </c>
      <c r="X125">
        <v>0</v>
      </c>
      <c r="Y125">
        <v>1540</v>
      </c>
      <c r="Z125">
        <v>1540</v>
      </c>
      <c r="AA125">
        <v>0</v>
      </c>
      <c r="AB125">
        <v>3080</v>
      </c>
      <c r="AC125">
        <v>3500</v>
      </c>
      <c r="AD125">
        <v>2</v>
      </c>
      <c r="AF125" t="s">
        <v>275</v>
      </c>
      <c r="AG125" t="s">
        <v>111</v>
      </c>
      <c r="AH125" t="s">
        <v>314</v>
      </c>
      <c r="AI125">
        <v>0</v>
      </c>
      <c r="AJ125">
        <v>2</v>
      </c>
      <c r="AK125">
        <v>0</v>
      </c>
      <c r="AL125">
        <v>1</v>
      </c>
      <c r="AM125">
        <v>0</v>
      </c>
      <c r="AN125">
        <v>11</v>
      </c>
      <c r="AO125">
        <v>471</v>
      </c>
      <c r="AP125">
        <v>0</v>
      </c>
      <c r="AQ125">
        <v>471</v>
      </c>
      <c r="AR125">
        <v>0</v>
      </c>
      <c r="AS125">
        <v>371</v>
      </c>
      <c r="AT125">
        <v>0</v>
      </c>
      <c r="AU125">
        <v>0</v>
      </c>
      <c r="AV125">
        <v>100</v>
      </c>
      <c r="AW125">
        <v>100</v>
      </c>
      <c r="AX125">
        <v>486584</v>
      </c>
      <c r="AY125">
        <v>374670</v>
      </c>
      <c r="AZ125">
        <v>118</v>
      </c>
      <c r="BA125">
        <v>118</v>
      </c>
      <c r="BB125">
        <v>0</v>
      </c>
      <c r="BC125">
        <v>0</v>
      </c>
      <c r="BD125" s="6">
        <v>45174</v>
      </c>
      <c r="BE125" t="s">
        <v>34</v>
      </c>
      <c r="BF125">
        <v>585000</v>
      </c>
      <c r="BG125">
        <v>585000</v>
      </c>
      <c r="BH125" t="s">
        <v>198</v>
      </c>
      <c r="BI125">
        <v>30</v>
      </c>
      <c r="BJ125" t="s">
        <v>51</v>
      </c>
      <c r="BK125" t="s">
        <v>314</v>
      </c>
      <c r="BL125">
        <v>416100</v>
      </c>
      <c r="BM125">
        <v>71900</v>
      </c>
      <c r="BN125">
        <v>344200</v>
      </c>
      <c r="BO125">
        <v>0</v>
      </c>
      <c r="BP125">
        <v>0.71128205128205124</v>
      </c>
      <c r="BQ125">
        <v>495629.99384413328</v>
      </c>
      <c r="BR125">
        <v>514293.10544536484</v>
      </c>
      <c r="BS125" s="7">
        <f>(BR125-BL125)/BL125</f>
        <v>0.23598439184178044</v>
      </c>
      <c r="BT125" s="14">
        <f>(Sales[[#This Row],[DP1]]*Lookups!$B$51)+(Sales[[#This Row],[DP2]]*Lookups!$B$52)+(Sales[[#This Row],[DP3]]*Lookups!$B$53)</f>
        <v>-18663.116000000002</v>
      </c>
      <c r="BU125" s="14">
        <f>Lookups!$B$48*0.5</f>
        <v>87214.824999999997</v>
      </c>
      <c r="BV125" s="14">
        <f>Lookups!$B$48*0.5</f>
        <v>87214.824999999997</v>
      </c>
      <c r="BW125" s="14">
        <f>Lookups!$B$49*Sales[[#This Row],[LnAcres]]</f>
        <v>-39059.651503814886</v>
      </c>
      <c r="BX125" s="14">
        <f>VLOOKUP(Sales[[#This Row],[Qlty]],Lookups!$A$54:$E$67,2,FALSE)</f>
        <v>-14329.694740000001</v>
      </c>
      <c r="BY125" s="14">
        <f>VLOOKUP(Sales[[#This Row],[Cnd]],Lookups!$A$68:$E$76,2,FALSE)</f>
        <v>47273.897095</v>
      </c>
      <c r="BZ125" s="14">
        <f>Sales[[#This Row],[Age]]*Lookups!$B$77</f>
        <v>9410.13393</v>
      </c>
      <c r="CA125" s="14">
        <f>Sales[[#This Row],[MainFn]]*Lookups!$B$78</f>
        <v>106388.52686000001</v>
      </c>
      <c r="CB125" s="14">
        <f>Sales[[#This Row],[UpprFn]]*Lookups!$B$79</f>
        <v>0</v>
      </c>
      <c r="CC125" s="14">
        <f>Sales[[#This Row],[AddFn]]*Lookups!$B$80</f>
        <v>0</v>
      </c>
      <c r="CD125" s="14">
        <f>Sales[[#This Row],[Bsmt]]*Lookups!$B$81</f>
        <v>44057.333319999998</v>
      </c>
      <c r="CE125" s="14">
        <f>Sales[[#This Row],[Fixtures]]*Lookups!$B$84</f>
        <v>111706.1</v>
      </c>
      <c r="CF125" s="14">
        <f>Sales[[#This Row],[MsnryFP]]*Lookups!$B$82</f>
        <v>50547.245999999999</v>
      </c>
      <c r="CG125" s="14">
        <f>Sales[[#This Row],[PrefabFP]]*Lookups!$B$83</f>
        <v>0</v>
      </c>
      <c r="CH125" s="14">
        <f>Sales[[#This Row],[GarageArea]]*Lookups!$B$85</f>
        <v>23869.572087</v>
      </c>
      <c r="CI125" s="14">
        <f>SUM(Sales[[#This Row],[Days Prior Total]:[Mdl GarageArea]])</f>
        <v>495629.99704818503</v>
      </c>
      <c r="CJ125" s="14">
        <f>ROUND(Sales[[#This Row],[25Det]],-2)</f>
        <v>0</v>
      </c>
      <c r="CK125" s="14">
        <f>ROUND(SUM(Sales[[#This Row],[Mdl Qlty]:[Mdl GarageArea]])+Sales[[#This Row],[Mdl Res Intercept]]+Sales[[#This Row],[Days Prior Total]],-2)</f>
        <v>447500</v>
      </c>
      <c r="CL125" s="14">
        <f>ROUND(Sales[[#This Row],[Mdl Land Intercept]]+Sales[[#This Row],[Mdl LnAcres]],-2)</f>
        <v>48200</v>
      </c>
      <c r="CM125" s="14">
        <f>Sales[[#This Row],[Unadj Res Value]]+Sales[[#This Row],[Unadj Det Value]]+Sales[[#This Row],[Unadj Land Value]]</f>
        <v>495700</v>
      </c>
      <c r="CN125" s="15">
        <f>Sales[[#This Row],[Unadj Total Value]]/Sales[[#This Row],[Price]]</f>
        <v>0.84735042735042732</v>
      </c>
      <c r="CO125" s="15">
        <f>(Sales[[#This Row],[Unadj Total Value]]-Sales[[#This Row],[24Final]])/Sales[[#This Row],[24Final]]</f>
        <v>0.19130016822879115</v>
      </c>
      <c r="CP125">
        <f>VLOOKUP(Sales[[#This Row],[TNbhd]],Lookups!$M$2:$P$4,4,FALSE)</f>
        <v>0.97570000000000001</v>
      </c>
      <c r="CQ125">
        <f>VLOOKUP(Sales[[#This Row],[Qlty]],Lookups!$M$6:$P$20,4,FALSE)</f>
        <v>0.98809999999999998</v>
      </c>
      <c r="CR125">
        <f>VLOOKUP(Sales[[#This Row],[Cnd]],Lookups!$R$6:$U$15,4,FALSE)</f>
        <v>0.97829999999999995</v>
      </c>
      <c r="CS125">
        <f>VLOOKUP(Sales[[#This Row],[LivArea Range]],Lookups!$R$23:$U$39,4,FALSE)</f>
        <v>0.99619999999999997</v>
      </c>
      <c r="CT125">
        <f>VLOOKUP(Sales[[#This Row],[Decade]],Lookups!$M$23:$P$35,4,FALSE)</f>
        <v>0.97289999999999999</v>
      </c>
      <c r="CU125">
        <f>Sales[[#This Row],[Nbhd Adj]]*0.95</f>
        <v>0.92691499999999993</v>
      </c>
      <c r="CV125">
        <f>Sales[[#This Row],[Nbhd Adj]]*Sales[[#This Row],[Quality Adj]]*Sales[[#This Row],[Condition Adj]]*Sales[[#This Row],[Living Area Adj]]*Sales[[#This Row],[Decade Adj]]*0.95</f>
        <v>0.8684155749618675</v>
      </c>
      <c r="CW125">
        <f>ROUND(SUM(Sales[[#This Row],[Mdl Qlty]:[Mdl GarageArea]])+Sales[[#This Row],[Mdl Res Intercept]]*Sales[[#This Row],[Res Adj ]],-2)</f>
        <v>454700</v>
      </c>
      <c r="CX125">
        <f>ROUND(Sales[[#This Row],[25Det]]*Sales[[#This Row],[Det/Nbhd Adj]],-2)</f>
        <v>0</v>
      </c>
      <c r="CY125">
        <f>Sales[[#This Row],[Adjusted Res]]+Sales[[#This Row],[Adj Det ]]</f>
        <v>454700</v>
      </c>
      <c r="CZ125">
        <f>ROUND((Sales[[#This Row],[Mdl Land Intercept]]+Sales[[#This Row],[Mdl LnAcres]])*Sales[[#This Row],[Det/Nbhd Adj]],-2)</f>
        <v>44600</v>
      </c>
      <c r="DA125">
        <f>Sales[[#This Row],[Adjusted Impr Total]]+Sales[[#This Row],[Adjusted Land Total]]</f>
        <v>499300</v>
      </c>
      <c r="DB125">
        <f>IFERROR((Sales[[#This Row],[Adjusted Impr Total]]-Sales[[#This Row],[24Bldg]])/Sales[[#This Row],[24Bldg]],0)</f>
        <v>0.32103428239395698</v>
      </c>
      <c r="DC125">
        <f>(Sales[[#This Row],[Adjusted Land Total]]-Sales[[#This Row],[24Lnd]])/Sales[[#This Row],[24Lnd]]</f>
        <v>-0.37969401947148818</v>
      </c>
      <c r="DD125">
        <f>(Sales[[#This Row],[Adjusted Total]]-Sales[[#This Row],[24Final]])/Sales[[#This Row],[24Final]]</f>
        <v>0.19995193463109828</v>
      </c>
      <c r="DE125">
        <f>(Sales[[#This Row],[Adjusted Total]]+Sales[[#This Row],[Days Prior Total]])/Sales[[#This Row],[Price]]</f>
        <v>0.82160151111111113</v>
      </c>
    </row>
    <row r="126" spans="1:109" x14ac:dyDescent="0.3">
      <c r="A126">
        <v>2025</v>
      </c>
      <c r="B126">
        <v>18131524412</v>
      </c>
      <c r="C126">
        <v>-1.0788096613719298</v>
      </c>
      <c r="D126">
        <v>0.34</v>
      </c>
      <c r="E126">
        <v>14910</v>
      </c>
      <c r="F126">
        <v>5</v>
      </c>
      <c r="G126" t="s">
        <v>89</v>
      </c>
      <c r="H126">
        <v>3041</v>
      </c>
      <c r="I126" t="s">
        <v>302</v>
      </c>
      <c r="J126" t="s">
        <v>26</v>
      </c>
      <c r="K126">
        <v>11</v>
      </c>
      <c r="L126">
        <v>259</v>
      </c>
      <c r="M126" t="s">
        <v>172</v>
      </c>
      <c r="N126" t="s">
        <v>111</v>
      </c>
      <c r="O126" t="s">
        <v>207</v>
      </c>
      <c r="P126">
        <v>1973</v>
      </c>
      <c r="Q126">
        <v>1978</v>
      </c>
      <c r="R126">
        <v>60</v>
      </c>
      <c r="S126">
        <v>51</v>
      </c>
      <c r="T126">
        <v>46</v>
      </c>
      <c r="U126">
        <v>1</v>
      </c>
      <c r="V126">
        <v>1786</v>
      </c>
      <c r="W126">
        <v>0</v>
      </c>
      <c r="X126">
        <v>0</v>
      </c>
      <c r="Y126">
        <v>1786</v>
      </c>
      <c r="Z126">
        <v>1786</v>
      </c>
      <c r="AA126">
        <v>0</v>
      </c>
      <c r="AB126">
        <v>3572</v>
      </c>
      <c r="AC126">
        <v>4000</v>
      </c>
      <c r="AD126">
        <v>2</v>
      </c>
      <c r="AE126" t="s">
        <v>5</v>
      </c>
      <c r="AF126" t="s">
        <v>275</v>
      </c>
      <c r="AG126" t="s">
        <v>111</v>
      </c>
      <c r="AH126" t="s">
        <v>314</v>
      </c>
      <c r="AI126">
        <v>0</v>
      </c>
      <c r="AJ126">
        <v>2</v>
      </c>
      <c r="AK126">
        <v>0</v>
      </c>
      <c r="AL126">
        <v>2</v>
      </c>
      <c r="AM126">
        <v>0</v>
      </c>
      <c r="AN126">
        <v>14</v>
      </c>
      <c r="AO126">
        <v>576</v>
      </c>
      <c r="AP126">
        <v>0</v>
      </c>
      <c r="AQ126">
        <v>576</v>
      </c>
      <c r="AR126">
        <v>0</v>
      </c>
      <c r="AS126">
        <v>482</v>
      </c>
      <c r="AT126">
        <v>456</v>
      </c>
      <c r="AU126">
        <v>0</v>
      </c>
      <c r="AV126">
        <v>100</v>
      </c>
      <c r="AW126">
        <v>100</v>
      </c>
      <c r="AX126">
        <v>581930</v>
      </c>
      <c r="AY126">
        <v>483002</v>
      </c>
      <c r="AZ126">
        <v>490</v>
      </c>
      <c r="BA126">
        <v>365</v>
      </c>
      <c r="BB126">
        <v>125</v>
      </c>
      <c r="BC126">
        <v>0</v>
      </c>
      <c r="BD126" s="6">
        <v>44802</v>
      </c>
      <c r="BE126" t="s">
        <v>307</v>
      </c>
      <c r="BF126">
        <v>618000</v>
      </c>
      <c r="BG126">
        <v>618000</v>
      </c>
      <c r="BH126" t="s">
        <v>198</v>
      </c>
      <c r="BI126">
        <v>30</v>
      </c>
      <c r="BJ126" t="s">
        <v>51</v>
      </c>
      <c r="BK126" t="s">
        <v>314</v>
      </c>
      <c r="BL126">
        <v>509700</v>
      </c>
      <c r="BM126">
        <v>99200</v>
      </c>
      <c r="BN126">
        <v>410500</v>
      </c>
      <c r="BO126">
        <v>0</v>
      </c>
      <c r="BP126">
        <v>0.824757281553398</v>
      </c>
      <c r="BQ126">
        <v>540335.22847013525</v>
      </c>
      <c r="BR126">
        <v>586171.2766350254</v>
      </c>
      <c r="BS126" s="7">
        <f>(BR126-BL126)/BL126</f>
        <v>0.15003193375519991</v>
      </c>
      <c r="BT126" s="14">
        <f>(Sales[[#This Row],[DP1]]*Lookups!$B$51)+(Sales[[#This Row],[DP2]]*Lookups!$B$52)+(Sales[[#This Row],[DP3]]*Lookups!$B$53)</f>
        <v>-45836.061750000008</v>
      </c>
      <c r="BU126" s="14">
        <f>Lookups!$B$48*0.5</f>
        <v>87214.824999999997</v>
      </c>
      <c r="BV126" s="14">
        <f>Lookups!$B$48*0.5</f>
        <v>87214.824999999997</v>
      </c>
      <c r="BW126" s="14">
        <f>Lookups!$B$49*Sales[[#This Row],[LnAcres]]</f>
        <v>-27000.28206812881</v>
      </c>
      <c r="BX126" s="14">
        <f>VLOOKUP(Sales[[#This Row],[Qlty]],Lookups!$A$54:$E$67,2,FALSE)</f>
        <v>-14329.694740000001</v>
      </c>
      <c r="BY126" s="14">
        <f>VLOOKUP(Sales[[#This Row],[Cnd]],Lookups!$A$68:$E$76,2,FALSE)</f>
        <v>47273.897095</v>
      </c>
      <c r="BZ126" s="14">
        <f>Sales[[#This Row],[Age]]*Lookups!$B$77</f>
        <v>9410.13393</v>
      </c>
      <c r="CA126" s="14">
        <f>Sales[[#This Row],[MainFn]]*Lookups!$B$78</f>
        <v>123383.05777400002</v>
      </c>
      <c r="CB126" s="14">
        <f>Sales[[#This Row],[UpprFn]]*Lookups!$B$79</f>
        <v>0</v>
      </c>
      <c r="CC126" s="14">
        <f>Sales[[#This Row],[AddFn]]*Lookups!$B$80</f>
        <v>0</v>
      </c>
      <c r="CD126" s="14">
        <f>Sales[[#This Row],[Bsmt]]*Lookups!$B$81</f>
        <v>51095.063188</v>
      </c>
      <c r="CE126" s="14">
        <f>Sales[[#This Row],[Fixtures]]*Lookups!$B$84</f>
        <v>142171.4</v>
      </c>
      <c r="CF126" s="14">
        <f>Sales[[#This Row],[MsnryFP]]*Lookups!$B$82</f>
        <v>50547.245999999999</v>
      </c>
      <c r="CG126" s="14">
        <f>Sales[[#This Row],[PrefabFP]]*Lookups!$B$83</f>
        <v>0</v>
      </c>
      <c r="CH126" s="14">
        <f>Sales[[#This Row],[GarageArea]]*Lookups!$B$85</f>
        <v>29190.814272</v>
      </c>
      <c r="CI126" s="14">
        <f>SUM(Sales[[#This Row],[Days Prior Total]:[Mdl GarageArea]])</f>
        <v>540335.22370087123</v>
      </c>
      <c r="CJ126" s="14">
        <f>ROUND(Sales[[#This Row],[25Det]],-2)</f>
        <v>0</v>
      </c>
      <c r="CK126" s="14">
        <f>ROUND(SUM(Sales[[#This Row],[Mdl Qlty]:[Mdl GarageArea]])+Sales[[#This Row],[Mdl Res Intercept]]+Sales[[#This Row],[Days Prior Total]],-2)</f>
        <v>480100</v>
      </c>
      <c r="CL126" s="14">
        <f>ROUND(Sales[[#This Row],[Mdl Land Intercept]]+Sales[[#This Row],[Mdl LnAcres]],-2)</f>
        <v>60200</v>
      </c>
      <c r="CM126" s="14">
        <f>Sales[[#This Row],[Unadj Res Value]]+Sales[[#This Row],[Unadj Det Value]]+Sales[[#This Row],[Unadj Land Value]]</f>
        <v>540300</v>
      </c>
      <c r="CN126" s="15">
        <f>Sales[[#This Row],[Unadj Total Value]]/Sales[[#This Row],[Price]]</f>
        <v>0.87427184466019414</v>
      </c>
      <c r="CO126" s="15">
        <f>(Sales[[#This Row],[Unadj Total Value]]-Sales[[#This Row],[24Final]])/Sales[[#This Row],[24Final]]</f>
        <v>6.0035314891112419E-2</v>
      </c>
      <c r="CP126">
        <f>VLOOKUP(Sales[[#This Row],[TNbhd]],Lookups!$M$2:$P$4,4,FALSE)</f>
        <v>0.97570000000000001</v>
      </c>
      <c r="CQ126">
        <f>VLOOKUP(Sales[[#This Row],[Qlty]],Lookups!$M$6:$P$20,4,FALSE)</f>
        <v>0.98809999999999998</v>
      </c>
      <c r="CR126">
        <f>VLOOKUP(Sales[[#This Row],[Cnd]],Lookups!$R$6:$U$15,4,FALSE)</f>
        <v>0.97829999999999995</v>
      </c>
      <c r="CS126">
        <f>VLOOKUP(Sales[[#This Row],[LivArea Range]],Lookups!$R$23:$U$39,4,FALSE)</f>
        <v>1.034</v>
      </c>
      <c r="CT126">
        <f>VLOOKUP(Sales[[#This Row],[Decade]],Lookups!$M$23:$P$35,4,FALSE)</f>
        <v>0.97289999999999999</v>
      </c>
      <c r="CU126">
        <f>Sales[[#This Row],[Nbhd Adj]]*0.95</f>
        <v>0.92691499999999993</v>
      </c>
      <c r="CV126">
        <f>Sales[[#This Row],[Nbhd Adj]]*Sales[[#This Row],[Quality Adj]]*Sales[[#This Row],[Condition Adj]]*Sales[[#This Row],[Living Area Adj]]*Sales[[#This Row],[Decade Adj]]*0.95</f>
        <v>0.90136689872572884</v>
      </c>
      <c r="CW126">
        <f>ROUND(SUM(Sales[[#This Row],[Mdl Qlty]:[Mdl GarageArea]])+Sales[[#This Row],[Mdl Res Intercept]]*Sales[[#This Row],[Res Adj ]],-2)</f>
        <v>517400</v>
      </c>
      <c r="CX126">
        <f>ROUND(Sales[[#This Row],[25Det]]*Sales[[#This Row],[Det/Nbhd Adj]],-2)</f>
        <v>0</v>
      </c>
      <c r="CY126">
        <f>Sales[[#This Row],[Adjusted Res]]+Sales[[#This Row],[Adj Det ]]</f>
        <v>517400</v>
      </c>
      <c r="CZ126">
        <f>ROUND((Sales[[#This Row],[Mdl Land Intercept]]+Sales[[#This Row],[Mdl LnAcres]])*Sales[[#This Row],[Det/Nbhd Adj]],-2)</f>
        <v>55800</v>
      </c>
      <c r="DA126">
        <f>Sales[[#This Row],[Adjusted Impr Total]]+Sales[[#This Row],[Adjusted Land Total]]</f>
        <v>573200</v>
      </c>
      <c r="DB126">
        <f>IFERROR((Sales[[#This Row],[Adjusted Impr Total]]-Sales[[#This Row],[24Bldg]])/Sales[[#This Row],[24Bldg]],0)</f>
        <v>0.26041412911084044</v>
      </c>
      <c r="DC126">
        <f>(Sales[[#This Row],[Adjusted Land Total]]-Sales[[#This Row],[24Lnd]])/Sales[[#This Row],[24Lnd]]</f>
        <v>-0.4375</v>
      </c>
      <c r="DD126">
        <f>(Sales[[#This Row],[Adjusted Total]]-Sales[[#This Row],[24Final]])/Sales[[#This Row],[24Final]]</f>
        <v>0.12458308809103394</v>
      </c>
      <c r="DE126">
        <f>(Sales[[#This Row],[Adjusted Total]]+Sales[[#This Row],[Days Prior Total]])/Sales[[#This Row],[Price]]</f>
        <v>0.85333970590614883</v>
      </c>
    </row>
    <row r="127" spans="1:109" x14ac:dyDescent="0.3">
      <c r="A127">
        <v>2025</v>
      </c>
      <c r="B127">
        <v>18131644404</v>
      </c>
      <c r="C127">
        <v>-1.6094379124341003</v>
      </c>
      <c r="D127">
        <v>0.2</v>
      </c>
      <c r="E127">
        <v>8635</v>
      </c>
      <c r="F127">
        <v>5</v>
      </c>
      <c r="G127" t="s">
        <v>89</v>
      </c>
      <c r="H127">
        <v>3042</v>
      </c>
      <c r="I127" t="s">
        <v>302</v>
      </c>
      <c r="J127" t="s">
        <v>26</v>
      </c>
      <c r="K127">
        <v>11</v>
      </c>
      <c r="L127">
        <v>259</v>
      </c>
      <c r="M127" t="s">
        <v>172</v>
      </c>
      <c r="N127" t="s">
        <v>205</v>
      </c>
      <c r="O127" s="4" t="s">
        <v>258</v>
      </c>
      <c r="P127">
        <v>1972</v>
      </c>
      <c r="Q127">
        <v>1978</v>
      </c>
      <c r="R127">
        <v>60</v>
      </c>
      <c r="S127">
        <v>52</v>
      </c>
      <c r="T127">
        <v>46</v>
      </c>
      <c r="U127">
        <v>1</v>
      </c>
      <c r="V127">
        <v>1170</v>
      </c>
      <c r="W127">
        <v>0</v>
      </c>
      <c r="X127">
        <v>0</v>
      </c>
      <c r="Y127">
        <v>1170</v>
      </c>
      <c r="Z127">
        <v>1170</v>
      </c>
      <c r="AA127">
        <v>0</v>
      </c>
      <c r="AB127">
        <v>2340</v>
      </c>
      <c r="AC127">
        <v>2500</v>
      </c>
      <c r="AD127">
        <v>0</v>
      </c>
      <c r="AE127" t="s">
        <v>132</v>
      </c>
      <c r="AF127" t="s">
        <v>275</v>
      </c>
      <c r="AG127" t="s">
        <v>111</v>
      </c>
      <c r="AH127" t="s">
        <v>314</v>
      </c>
      <c r="AI127">
        <v>0</v>
      </c>
      <c r="AJ127">
        <v>2</v>
      </c>
      <c r="AK127">
        <v>0</v>
      </c>
      <c r="AL127">
        <v>2</v>
      </c>
      <c r="AM127">
        <v>0</v>
      </c>
      <c r="AN127">
        <v>11</v>
      </c>
      <c r="AO127">
        <v>0</v>
      </c>
      <c r="AP127">
        <v>0</v>
      </c>
      <c r="AQ127">
        <v>0</v>
      </c>
      <c r="AR127">
        <v>420</v>
      </c>
      <c r="AS127">
        <v>0</v>
      </c>
      <c r="AT127">
        <v>224</v>
      </c>
      <c r="AU127">
        <v>0</v>
      </c>
      <c r="AV127">
        <v>100</v>
      </c>
      <c r="AW127">
        <v>100</v>
      </c>
      <c r="AX127">
        <v>329176</v>
      </c>
      <c r="AY127">
        <v>283091</v>
      </c>
      <c r="AZ127">
        <v>418</v>
      </c>
      <c r="BA127">
        <v>365</v>
      </c>
      <c r="BB127">
        <v>53</v>
      </c>
      <c r="BC127">
        <v>0</v>
      </c>
      <c r="BD127" s="6">
        <v>44874</v>
      </c>
      <c r="BE127" t="s">
        <v>120</v>
      </c>
      <c r="BF127">
        <v>375000</v>
      </c>
      <c r="BG127">
        <v>375000</v>
      </c>
      <c r="BH127" t="s">
        <v>198</v>
      </c>
      <c r="BI127">
        <v>30</v>
      </c>
      <c r="BJ127" t="s">
        <v>51</v>
      </c>
      <c r="BK127" t="s">
        <v>314</v>
      </c>
      <c r="BL127">
        <v>424800</v>
      </c>
      <c r="BM127">
        <v>69100</v>
      </c>
      <c r="BN127">
        <v>355700</v>
      </c>
      <c r="BO127">
        <v>0</v>
      </c>
      <c r="BP127">
        <v>1.1328</v>
      </c>
      <c r="BQ127">
        <v>443853.91389470029</v>
      </c>
      <c r="BR127">
        <v>496540.36935935041</v>
      </c>
      <c r="BS127" s="7">
        <f>(BR127-BL127)/BL127</f>
        <v>0.16888034218302828</v>
      </c>
      <c r="BT127" s="14">
        <f>(Sales[[#This Row],[DP1]]*Lookups!$B$51)+(Sales[[#This Row],[DP2]]*Lookups!$B$52)+(Sales[[#This Row],[DP3]]*Lookups!$B$53)</f>
        <v>-52686.469062000004</v>
      </c>
      <c r="BU127" s="14">
        <f>Lookups!$B$48*0.5</f>
        <v>87214.824999999997</v>
      </c>
      <c r="BV127" s="14">
        <f>Lookups!$B$48*0.5</f>
        <v>87214.824999999997</v>
      </c>
      <c r="BW127" s="14">
        <f>Lookups!$B$49*Sales[[#This Row],[LnAcres]]</f>
        <v>-40280.764218962147</v>
      </c>
      <c r="BX127" s="14">
        <f>VLOOKUP(Sales[[#This Row],[Qlty]],Lookups!$A$54:$E$67,2,FALSE)</f>
        <v>30313.66692</v>
      </c>
      <c r="BY127" s="14">
        <f>VLOOKUP(Sales[[#This Row],[Cnd]],Lookups!$A$68:$E$76,2,FALSE)</f>
        <v>106557.38887</v>
      </c>
      <c r="BZ127" s="14">
        <f>Sales[[#This Row],[Age]]*Lookups!$B$77</f>
        <v>9594.6463599999988</v>
      </c>
      <c r="CA127" s="14">
        <f>Sales[[#This Row],[MainFn]]*Lookups!$B$78</f>
        <v>80827.647030000007</v>
      </c>
      <c r="CB127" s="14">
        <f>Sales[[#This Row],[UpprFn]]*Lookups!$B$79</f>
        <v>0</v>
      </c>
      <c r="CC127" s="14">
        <f>Sales[[#This Row],[AddFn]]*Lookups!$B$80</f>
        <v>0</v>
      </c>
      <c r="CD127" s="14">
        <f>Sales[[#This Row],[Bsmt]]*Lookups!$B$81</f>
        <v>33472.129860000001</v>
      </c>
      <c r="CE127" s="14">
        <f>Sales[[#This Row],[Fixtures]]*Lookups!$B$84</f>
        <v>111706.1</v>
      </c>
      <c r="CF127" s="14">
        <f>Sales[[#This Row],[MsnryFP]]*Lookups!$B$82</f>
        <v>50547.245999999999</v>
      </c>
      <c r="CG127" s="14">
        <f>Sales[[#This Row],[PrefabFP]]*Lookups!$B$83</f>
        <v>0</v>
      </c>
      <c r="CH127" s="14">
        <f>Sales[[#This Row],[GarageArea]]*Lookups!$B$85</f>
        <v>0</v>
      </c>
      <c r="CI127" s="14">
        <f>SUM(Sales[[#This Row],[Days Prior Total]:[Mdl GarageArea]])</f>
        <v>504481.24175903777</v>
      </c>
      <c r="CJ127" s="14">
        <f>ROUND(Sales[[#This Row],[25Det]],-2)</f>
        <v>0</v>
      </c>
      <c r="CK127" s="14">
        <f>ROUND(SUM(Sales[[#This Row],[Mdl Qlty]:[Mdl GarageArea]])+Sales[[#This Row],[Mdl Res Intercept]]+Sales[[#This Row],[Days Prior Total]],-2)</f>
        <v>457500</v>
      </c>
      <c r="CL127" s="14">
        <f>ROUND(Sales[[#This Row],[Mdl Land Intercept]]+Sales[[#This Row],[Mdl LnAcres]],-2)</f>
        <v>46900</v>
      </c>
      <c r="CM127" s="14">
        <f>Sales[[#This Row],[Unadj Res Value]]+Sales[[#This Row],[Unadj Det Value]]+Sales[[#This Row],[Unadj Land Value]]</f>
        <v>504400</v>
      </c>
      <c r="CN127" s="15">
        <f>Sales[[#This Row],[Unadj Total Value]]/Sales[[#This Row],[Price]]</f>
        <v>1.3450666666666666</v>
      </c>
      <c r="CO127" s="15">
        <f>(Sales[[#This Row],[Unadj Total Value]]-Sales[[#This Row],[24Final]])/Sales[[#This Row],[24Final]]</f>
        <v>0.18738229755178909</v>
      </c>
      <c r="CP127">
        <f>VLOOKUP(Sales[[#This Row],[TNbhd]],Lookups!$M$2:$P$4,4,FALSE)</f>
        <v>0.97570000000000001</v>
      </c>
      <c r="CQ127">
        <f>VLOOKUP(Sales[[#This Row],[Qlty]],Lookups!$M$6:$P$20,4,FALSE)</f>
        <v>0.85299999999999998</v>
      </c>
      <c r="CR127">
        <f>VLOOKUP(Sales[[#This Row],[Cnd]],Lookups!$R$6:$U$15,4,FALSE)</f>
        <v>0.9748</v>
      </c>
      <c r="CS127">
        <f>VLOOKUP(Sales[[#This Row],[LivArea Range]],Lookups!$R$23:$U$39,4,FALSE)</f>
        <v>0.93440000000000001</v>
      </c>
      <c r="CT127">
        <f>VLOOKUP(Sales[[#This Row],[Decade]],Lookups!$M$23:$P$35,4,FALSE)</f>
        <v>0.97289999999999999</v>
      </c>
      <c r="CU127">
        <f>Sales[[#This Row],[Nbhd Adj]]*0.95</f>
        <v>0.92691499999999993</v>
      </c>
      <c r="CV127">
        <f>Sales[[#This Row],[Nbhd Adj]]*Sales[[#This Row],[Quality Adj]]*Sales[[#This Row],[Condition Adj]]*Sales[[#This Row],[Living Area Adj]]*Sales[[#This Row],[Decade Adj]]*0.95</f>
        <v>0.70065704820986996</v>
      </c>
      <c r="CW127">
        <f>ROUND(SUM(Sales[[#This Row],[Mdl Qlty]:[Mdl GarageArea]])+Sales[[#This Row],[Mdl Res Intercept]]*Sales[[#This Row],[Res Adj ]],-2)</f>
        <v>484100</v>
      </c>
      <c r="CX127">
        <f>ROUND(Sales[[#This Row],[25Det]]*Sales[[#This Row],[Det/Nbhd Adj]],-2)</f>
        <v>0</v>
      </c>
      <c r="CY127">
        <f>Sales[[#This Row],[Adjusted Res]]+Sales[[#This Row],[Adj Det ]]</f>
        <v>484100</v>
      </c>
      <c r="CZ127">
        <f>ROUND((Sales[[#This Row],[Mdl Land Intercept]]+Sales[[#This Row],[Mdl LnAcres]])*Sales[[#This Row],[Det/Nbhd Adj]],-2)</f>
        <v>43500</v>
      </c>
      <c r="DA127">
        <f>Sales[[#This Row],[Adjusted Impr Total]]+Sales[[#This Row],[Adjusted Land Total]]</f>
        <v>527600</v>
      </c>
      <c r="DB127">
        <f>IFERROR((Sales[[#This Row],[Adjusted Impr Total]]-Sales[[#This Row],[24Bldg]])/Sales[[#This Row],[24Bldg]],0)</f>
        <v>0.3609783525442789</v>
      </c>
      <c r="DC127">
        <f>(Sales[[#This Row],[Adjusted Land Total]]-Sales[[#This Row],[24Lnd]])/Sales[[#This Row],[24Lnd]]</f>
        <v>-0.37047756874095511</v>
      </c>
      <c r="DD127">
        <f>(Sales[[#This Row],[Adjusted Total]]-Sales[[#This Row],[24Final]])/Sales[[#This Row],[24Final]]</f>
        <v>0.24199623352165725</v>
      </c>
      <c r="DE127">
        <f>(Sales[[#This Row],[Adjusted Total]]+Sales[[#This Row],[Days Prior Total]])/Sales[[#This Row],[Price]]</f>
        <v>1.2664360825013334</v>
      </c>
    </row>
    <row r="128" spans="1:109" x14ac:dyDescent="0.3">
      <c r="A128">
        <v>2025</v>
      </c>
      <c r="B128">
        <v>18131643428</v>
      </c>
      <c r="C128">
        <v>-1.2039728043259361</v>
      </c>
      <c r="D128">
        <v>0.3</v>
      </c>
      <c r="E128">
        <v>13257</v>
      </c>
      <c r="F128">
        <v>5</v>
      </c>
      <c r="G128" t="s">
        <v>89</v>
      </c>
      <c r="H128">
        <v>3041</v>
      </c>
      <c r="I128" t="s">
        <v>302</v>
      </c>
      <c r="J128" t="s">
        <v>26</v>
      </c>
      <c r="K128">
        <v>11</v>
      </c>
      <c r="L128">
        <v>259</v>
      </c>
      <c r="M128" t="s">
        <v>172</v>
      </c>
      <c r="N128" t="s">
        <v>111</v>
      </c>
      <c r="O128" t="s">
        <v>207</v>
      </c>
      <c r="P128">
        <v>1972</v>
      </c>
      <c r="Q128">
        <v>1978</v>
      </c>
      <c r="R128">
        <v>60</v>
      </c>
      <c r="S128">
        <v>52</v>
      </c>
      <c r="T128">
        <v>46</v>
      </c>
      <c r="U128">
        <v>1</v>
      </c>
      <c r="V128">
        <v>1663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1663</v>
      </c>
      <c r="AC128">
        <v>2000</v>
      </c>
      <c r="AD128">
        <v>2</v>
      </c>
      <c r="AF128" t="s">
        <v>275</v>
      </c>
      <c r="AG128" t="s">
        <v>111</v>
      </c>
      <c r="AH128" t="s">
        <v>314</v>
      </c>
      <c r="AI128">
        <v>0</v>
      </c>
      <c r="AJ128">
        <v>1</v>
      </c>
      <c r="AK128">
        <v>0</v>
      </c>
      <c r="AL128">
        <v>1</v>
      </c>
      <c r="AM128">
        <v>1</v>
      </c>
      <c r="AN128">
        <v>10</v>
      </c>
      <c r="AO128">
        <v>441</v>
      </c>
      <c r="AP128">
        <v>0</v>
      </c>
      <c r="AQ128">
        <v>441</v>
      </c>
      <c r="AR128">
        <v>0</v>
      </c>
      <c r="AS128">
        <v>384</v>
      </c>
      <c r="AT128">
        <v>120</v>
      </c>
      <c r="AU128">
        <v>0</v>
      </c>
      <c r="AV128">
        <v>100</v>
      </c>
      <c r="AW128">
        <v>100</v>
      </c>
      <c r="AX128">
        <v>343277</v>
      </c>
      <c r="AY128">
        <v>284920</v>
      </c>
      <c r="AZ128">
        <v>917</v>
      </c>
      <c r="BA128">
        <v>365</v>
      </c>
      <c r="BB128">
        <v>365</v>
      </c>
      <c r="BC128">
        <v>187</v>
      </c>
      <c r="BD128" s="6">
        <v>44375</v>
      </c>
      <c r="BE128" t="s">
        <v>33</v>
      </c>
      <c r="BF128">
        <v>310000</v>
      </c>
      <c r="BG128">
        <v>310000</v>
      </c>
      <c r="BH128" t="s">
        <v>198</v>
      </c>
      <c r="BI128">
        <v>30</v>
      </c>
      <c r="BJ128" t="s">
        <v>51</v>
      </c>
      <c r="BK128" t="s">
        <v>314</v>
      </c>
      <c r="BL128">
        <v>445700</v>
      </c>
      <c r="BM128">
        <v>92100</v>
      </c>
      <c r="BN128">
        <v>353600</v>
      </c>
      <c r="BO128">
        <v>0</v>
      </c>
      <c r="BP128">
        <v>1.437741935483871</v>
      </c>
      <c r="BQ128">
        <v>370188.32940179989</v>
      </c>
      <c r="BR128">
        <v>450895.27758512896</v>
      </c>
      <c r="BS128" s="7">
        <f>(BR128-BL128)/BL128</f>
        <v>1.1656445109106938E-2</v>
      </c>
      <c r="BT128" s="14">
        <f>(Sales[[#This Row],[DP1]]*Lookups!$B$51)+(Sales[[#This Row],[DP2]]*Lookups!$B$52)+(Sales[[#This Row],[DP3]]*Lookups!$B$53)</f>
        <v>-80706.952710000012</v>
      </c>
      <c r="BU128" s="14">
        <f>Lookups!$B$48*0.5</f>
        <v>87214.824999999997</v>
      </c>
      <c r="BV128" s="14">
        <f>Lookups!$B$48*0.5</f>
        <v>87214.824999999997</v>
      </c>
      <c r="BW128" s="14">
        <f>Lookups!$B$49*Sales[[#This Row],[LnAcres]]</f>
        <v>-30132.845934857665</v>
      </c>
      <c r="BX128" s="14">
        <f>VLOOKUP(Sales[[#This Row],[Qlty]],Lookups!$A$54:$E$67,2,FALSE)</f>
        <v>-14329.694740000001</v>
      </c>
      <c r="BY128" s="14">
        <f>VLOOKUP(Sales[[#This Row],[Cnd]],Lookups!$A$68:$E$76,2,FALSE)</f>
        <v>47273.897095</v>
      </c>
      <c r="BZ128" s="14">
        <f>Sales[[#This Row],[Age]]*Lookups!$B$77</f>
        <v>9594.6463599999988</v>
      </c>
      <c r="CA128" s="14">
        <f>Sales[[#This Row],[MainFn]]*Lookups!$B$78</f>
        <v>114885.79231700001</v>
      </c>
      <c r="CB128" s="14">
        <f>Sales[[#This Row],[UpprFn]]*Lookups!$B$79</f>
        <v>0</v>
      </c>
      <c r="CC128" s="14">
        <f>Sales[[#This Row],[AddFn]]*Lookups!$B$80</f>
        <v>0</v>
      </c>
      <c r="CD128" s="14">
        <f>Sales[[#This Row],[Bsmt]]*Lookups!$B$81</f>
        <v>0</v>
      </c>
      <c r="CE128" s="14">
        <f>Sales[[#This Row],[Fixtures]]*Lookups!$B$84</f>
        <v>101551</v>
      </c>
      <c r="CF128" s="14">
        <f>Sales[[#This Row],[MsnryFP]]*Lookups!$B$82</f>
        <v>25273.623</v>
      </c>
      <c r="CG128" s="14">
        <f>Sales[[#This Row],[PrefabFP]]*Lookups!$B$83</f>
        <v>0</v>
      </c>
      <c r="CH128" s="14">
        <f>Sales[[#This Row],[GarageArea]]*Lookups!$B$85</f>
        <v>22349.217176999999</v>
      </c>
      <c r="CI128" s="14">
        <f>SUM(Sales[[#This Row],[Days Prior Total]:[Mdl GarageArea]])</f>
        <v>370188.33256414236</v>
      </c>
      <c r="CJ128" s="14">
        <f>ROUND(Sales[[#This Row],[25Det]],-2)</f>
        <v>0</v>
      </c>
      <c r="CK128" s="14">
        <f>ROUND(SUM(Sales[[#This Row],[Mdl Qlty]:[Mdl GarageArea]])+Sales[[#This Row],[Mdl Res Intercept]]+Sales[[#This Row],[Days Prior Total]],-2)</f>
        <v>313100</v>
      </c>
      <c r="CL128" s="14">
        <f>ROUND(Sales[[#This Row],[Mdl Land Intercept]]+Sales[[#This Row],[Mdl LnAcres]],-2)</f>
        <v>57100</v>
      </c>
      <c r="CM128" s="14">
        <f>Sales[[#This Row],[Unadj Res Value]]+Sales[[#This Row],[Unadj Det Value]]+Sales[[#This Row],[Unadj Land Value]]</f>
        <v>370200</v>
      </c>
      <c r="CN128" s="15">
        <f>Sales[[#This Row],[Unadj Total Value]]/Sales[[#This Row],[Price]]</f>
        <v>1.1941935483870967</v>
      </c>
      <c r="CO128" s="15">
        <f>(Sales[[#This Row],[Unadj Total Value]]-Sales[[#This Row],[24Final]])/Sales[[#This Row],[24Final]]</f>
        <v>-0.16939645501458381</v>
      </c>
      <c r="CP128">
        <f>VLOOKUP(Sales[[#This Row],[TNbhd]],Lookups!$M$2:$P$4,4,FALSE)</f>
        <v>0.97570000000000001</v>
      </c>
      <c r="CQ128">
        <f>VLOOKUP(Sales[[#This Row],[Qlty]],Lookups!$M$6:$P$20,4,FALSE)</f>
        <v>0.98809999999999998</v>
      </c>
      <c r="CR128">
        <f>VLOOKUP(Sales[[#This Row],[Cnd]],Lookups!$R$6:$U$15,4,FALSE)</f>
        <v>0.97829999999999995</v>
      </c>
      <c r="CS128">
        <f>VLOOKUP(Sales[[#This Row],[LivArea Range]],Lookups!$R$23:$U$39,4,FALSE)</f>
        <v>0.99099999999999999</v>
      </c>
      <c r="CT128">
        <f>VLOOKUP(Sales[[#This Row],[Decade]],Lookups!$M$23:$P$35,4,FALSE)</f>
        <v>0.97289999999999999</v>
      </c>
      <c r="CU128">
        <f>Sales[[#This Row],[Nbhd Adj]]*0.95</f>
        <v>0.92691499999999993</v>
      </c>
      <c r="CV128">
        <f>Sales[[#This Row],[Nbhd Adj]]*Sales[[#This Row],[Quality Adj]]*Sales[[#This Row],[Condition Adj]]*Sales[[#This Row],[Living Area Adj]]*Sales[[#This Row],[Decade Adj]]*0.95</f>
        <v>0.86388258862398182</v>
      </c>
      <c r="CW128">
        <f>ROUND(SUM(Sales[[#This Row],[Mdl Qlty]:[Mdl GarageArea]])+Sales[[#This Row],[Mdl Res Intercept]]*Sales[[#This Row],[Res Adj ]],-2)</f>
        <v>381900</v>
      </c>
      <c r="CX128">
        <f>ROUND(Sales[[#This Row],[25Det]]*Sales[[#This Row],[Det/Nbhd Adj]],-2)</f>
        <v>0</v>
      </c>
      <c r="CY128">
        <f>Sales[[#This Row],[Adjusted Res]]+Sales[[#This Row],[Adj Det ]]</f>
        <v>381900</v>
      </c>
      <c r="CZ128">
        <f>ROUND((Sales[[#This Row],[Mdl Land Intercept]]+Sales[[#This Row],[Mdl LnAcres]])*Sales[[#This Row],[Det/Nbhd Adj]],-2)</f>
        <v>52900</v>
      </c>
      <c r="DA128">
        <f>Sales[[#This Row],[Adjusted Impr Total]]+Sales[[#This Row],[Adjusted Land Total]]</f>
        <v>434800</v>
      </c>
      <c r="DB128">
        <f>IFERROR((Sales[[#This Row],[Adjusted Impr Total]]-Sales[[#This Row],[24Bldg]])/Sales[[#This Row],[24Bldg]],0)</f>
        <v>8.0033936651583704E-2</v>
      </c>
      <c r="DC128">
        <f>(Sales[[#This Row],[Adjusted Land Total]]-Sales[[#This Row],[24Lnd]])/Sales[[#This Row],[24Lnd]]</f>
        <v>-0.42562432138979372</v>
      </c>
      <c r="DD128">
        <f>(Sales[[#This Row],[Adjusted Total]]-Sales[[#This Row],[24Final]])/Sales[[#This Row],[24Final]]</f>
        <v>-2.4455912048463091E-2</v>
      </c>
      <c r="DE128">
        <f>(Sales[[#This Row],[Adjusted Total]]+Sales[[#This Row],[Days Prior Total]])/Sales[[#This Row],[Price]]</f>
        <v>1.1422356364193549</v>
      </c>
    </row>
    <row r="129" spans="1:109" x14ac:dyDescent="0.3">
      <c r="A129">
        <v>2025</v>
      </c>
      <c r="B129">
        <v>18131643427</v>
      </c>
      <c r="C129">
        <v>-1.3093333199837622</v>
      </c>
      <c r="D129">
        <v>0.27</v>
      </c>
      <c r="E129">
        <v>11637</v>
      </c>
      <c r="F129">
        <v>5</v>
      </c>
      <c r="G129" t="s">
        <v>89</v>
      </c>
      <c r="H129">
        <v>3041</v>
      </c>
      <c r="I129" t="s">
        <v>302</v>
      </c>
      <c r="J129" t="s">
        <v>26</v>
      </c>
      <c r="K129">
        <v>11</v>
      </c>
      <c r="L129">
        <v>259</v>
      </c>
      <c r="M129" t="s">
        <v>4</v>
      </c>
      <c r="N129" t="s">
        <v>111</v>
      </c>
      <c r="O129" t="s">
        <v>207</v>
      </c>
      <c r="P129">
        <v>1972</v>
      </c>
      <c r="Q129">
        <v>1978</v>
      </c>
      <c r="R129">
        <v>60</v>
      </c>
      <c r="S129">
        <v>52</v>
      </c>
      <c r="T129">
        <v>46</v>
      </c>
      <c r="U129">
        <v>1</v>
      </c>
      <c r="V129">
        <v>1450</v>
      </c>
      <c r="W129">
        <v>0</v>
      </c>
      <c r="X129">
        <v>0</v>
      </c>
      <c r="Y129">
        <v>725</v>
      </c>
      <c r="Z129">
        <v>725</v>
      </c>
      <c r="AA129">
        <v>0</v>
      </c>
      <c r="AB129">
        <v>2175</v>
      </c>
      <c r="AC129">
        <v>2500</v>
      </c>
      <c r="AD129">
        <v>2</v>
      </c>
      <c r="AF129" t="s">
        <v>275</v>
      </c>
      <c r="AG129" t="s">
        <v>111</v>
      </c>
      <c r="AH129" t="s">
        <v>314</v>
      </c>
      <c r="AI129">
        <v>0</v>
      </c>
      <c r="AJ129">
        <v>2</v>
      </c>
      <c r="AK129">
        <v>0</v>
      </c>
      <c r="AL129">
        <v>1</v>
      </c>
      <c r="AM129">
        <v>1</v>
      </c>
      <c r="AN129">
        <v>10</v>
      </c>
      <c r="AO129">
        <v>0</v>
      </c>
      <c r="AP129">
        <v>525</v>
      </c>
      <c r="AQ129">
        <v>525</v>
      </c>
      <c r="AR129">
        <v>0</v>
      </c>
      <c r="AS129">
        <v>0</v>
      </c>
      <c r="AT129">
        <v>0</v>
      </c>
      <c r="AU129">
        <v>0</v>
      </c>
      <c r="AV129">
        <v>100</v>
      </c>
      <c r="AW129">
        <v>100</v>
      </c>
      <c r="AX129">
        <v>398803</v>
      </c>
      <c r="AY129">
        <v>331006</v>
      </c>
      <c r="AZ129">
        <v>725</v>
      </c>
      <c r="BA129">
        <v>365</v>
      </c>
      <c r="BB129">
        <v>360</v>
      </c>
      <c r="BC129">
        <v>0</v>
      </c>
      <c r="BD129" s="6">
        <v>44567</v>
      </c>
      <c r="BE129" t="s">
        <v>211</v>
      </c>
      <c r="BF129">
        <v>410000</v>
      </c>
      <c r="BG129">
        <v>410000</v>
      </c>
      <c r="BH129" t="s">
        <v>198</v>
      </c>
      <c r="BI129">
        <v>30</v>
      </c>
      <c r="BJ129" t="s">
        <v>51</v>
      </c>
      <c r="BK129" t="s">
        <v>314</v>
      </c>
      <c r="BL129">
        <v>431200</v>
      </c>
      <c r="BM129">
        <v>86200</v>
      </c>
      <c r="BN129">
        <v>345000</v>
      </c>
      <c r="BO129">
        <v>0</v>
      </c>
      <c r="BP129">
        <v>1.0517073170731708</v>
      </c>
      <c r="BQ129">
        <v>460338.3683124737</v>
      </c>
      <c r="BR129">
        <v>483815.44820731442</v>
      </c>
      <c r="BS129" s="7">
        <f>(BR129-BL129)/BL129</f>
        <v>0.1220209837831967</v>
      </c>
      <c r="BT129" s="14">
        <f>(Sales[[#This Row],[DP1]]*Lookups!$B$51)+(Sales[[#This Row],[DP2]]*Lookups!$B$52)+(Sales[[#This Row],[DP3]]*Lookups!$B$53)</f>
        <v>-23477.093440000004</v>
      </c>
      <c r="BU129" s="14">
        <f>Lookups!$B$48*0.5</f>
        <v>87214.824999999997</v>
      </c>
      <c r="BV129" s="14">
        <f>Lookups!$B$48*0.5</f>
        <v>87214.824999999997</v>
      </c>
      <c r="BW129" s="14">
        <f>Lookups!$B$49*Sales[[#This Row],[LnAcres]]</f>
        <v>-32769.792695222328</v>
      </c>
      <c r="BX129" s="14">
        <f>VLOOKUP(Sales[[#This Row],[Qlty]],Lookups!$A$54:$E$67,2,FALSE)</f>
        <v>-14329.694740000001</v>
      </c>
      <c r="BY129" s="14">
        <f>VLOOKUP(Sales[[#This Row],[Cnd]],Lookups!$A$68:$E$76,2,FALSE)</f>
        <v>47273.897095</v>
      </c>
      <c r="BZ129" s="14">
        <f>Sales[[#This Row],[Age]]*Lookups!$B$77</f>
        <v>9594.6463599999988</v>
      </c>
      <c r="CA129" s="14">
        <f>Sales[[#This Row],[MainFn]]*Lookups!$B$78</f>
        <v>100171.01555000001</v>
      </c>
      <c r="CB129" s="14">
        <f>Sales[[#This Row],[UpprFn]]*Lookups!$B$79</f>
        <v>0</v>
      </c>
      <c r="CC129" s="14">
        <f>Sales[[#This Row],[AddFn]]*Lookups!$B$80</f>
        <v>0</v>
      </c>
      <c r="CD129" s="14">
        <f>Sales[[#This Row],[Bsmt]]*Lookups!$B$81</f>
        <v>20741.277050000001</v>
      </c>
      <c r="CE129" s="14">
        <f>Sales[[#This Row],[Fixtures]]*Lookups!$B$84</f>
        <v>101551</v>
      </c>
      <c r="CF129" s="14">
        <f>Sales[[#This Row],[MsnryFP]]*Lookups!$B$82</f>
        <v>50547.245999999999</v>
      </c>
      <c r="CG129" s="14">
        <f>Sales[[#This Row],[PrefabFP]]*Lookups!$B$83</f>
        <v>0</v>
      </c>
      <c r="CH129" s="14">
        <f>Sales[[#This Row],[GarageArea]]*Lookups!$B$85</f>
        <v>26606.210924999999</v>
      </c>
      <c r="CI129" s="14">
        <f>SUM(Sales[[#This Row],[Days Prior Total]:[Mdl GarageArea]])</f>
        <v>460338.36210477765</v>
      </c>
      <c r="CJ129" s="14">
        <f>ROUND(Sales[[#This Row],[25Det]],-2)</f>
        <v>0</v>
      </c>
      <c r="CK129" s="14">
        <f>ROUND(SUM(Sales[[#This Row],[Mdl Qlty]:[Mdl GarageArea]])+Sales[[#This Row],[Mdl Res Intercept]]+Sales[[#This Row],[Days Prior Total]],-2)</f>
        <v>405900</v>
      </c>
      <c r="CL129" s="14">
        <f>ROUND(Sales[[#This Row],[Mdl Land Intercept]]+Sales[[#This Row],[Mdl LnAcres]],-2)</f>
        <v>54400</v>
      </c>
      <c r="CM129" s="14">
        <f>Sales[[#This Row],[Unadj Res Value]]+Sales[[#This Row],[Unadj Det Value]]+Sales[[#This Row],[Unadj Land Value]]</f>
        <v>460300</v>
      </c>
      <c r="CN129" s="15">
        <f>Sales[[#This Row],[Unadj Total Value]]/Sales[[#This Row],[Price]]</f>
        <v>1.1226829268292684</v>
      </c>
      <c r="CO129" s="15">
        <f>(Sales[[#This Row],[Unadj Total Value]]-Sales[[#This Row],[24Final]])/Sales[[#This Row],[24Final]]</f>
        <v>6.7486085343228197E-2</v>
      </c>
      <c r="CP129">
        <f>VLOOKUP(Sales[[#This Row],[TNbhd]],Lookups!$M$2:$P$4,4,FALSE)</f>
        <v>0.97570000000000001</v>
      </c>
      <c r="CQ129">
        <f>VLOOKUP(Sales[[#This Row],[Qlty]],Lookups!$M$6:$P$20,4,FALSE)</f>
        <v>0.98809999999999998</v>
      </c>
      <c r="CR129">
        <f>VLOOKUP(Sales[[#This Row],[Cnd]],Lookups!$R$6:$U$15,4,FALSE)</f>
        <v>0.97829999999999995</v>
      </c>
      <c r="CS129">
        <f>VLOOKUP(Sales[[#This Row],[LivArea Range]],Lookups!$R$23:$U$39,4,FALSE)</f>
        <v>0.93440000000000001</v>
      </c>
      <c r="CT129">
        <f>VLOOKUP(Sales[[#This Row],[Decade]],Lookups!$M$23:$P$35,4,FALSE)</f>
        <v>0.97289999999999999</v>
      </c>
      <c r="CU129">
        <f>Sales[[#This Row],[Nbhd Adj]]*0.95</f>
        <v>0.92691499999999993</v>
      </c>
      <c r="CV129">
        <f>Sales[[#This Row],[Nbhd Adj]]*Sales[[#This Row],[Quality Adj]]*Sales[[#This Row],[Condition Adj]]*Sales[[#This Row],[Living Area Adj]]*Sales[[#This Row],[Decade Adj]]*0.95</f>
        <v>0.81454277579237999</v>
      </c>
      <c r="CW129">
        <f>ROUND(SUM(Sales[[#This Row],[Mdl Qlty]:[Mdl GarageArea]])+Sales[[#This Row],[Mdl Res Intercept]]*Sales[[#This Row],[Res Adj ]],-2)</f>
        <v>413200</v>
      </c>
      <c r="CX129">
        <f>ROUND(Sales[[#This Row],[25Det]]*Sales[[#This Row],[Det/Nbhd Adj]],-2)</f>
        <v>0</v>
      </c>
      <c r="CY129">
        <f>Sales[[#This Row],[Adjusted Res]]+Sales[[#This Row],[Adj Det ]]</f>
        <v>413200</v>
      </c>
      <c r="CZ129">
        <f>ROUND((Sales[[#This Row],[Mdl Land Intercept]]+Sales[[#This Row],[Mdl LnAcres]])*Sales[[#This Row],[Det/Nbhd Adj]],-2)</f>
        <v>50500</v>
      </c>
      <c r="DA129">
        <f>Sales[[#This Row],[Adjusted Impr Total]]+Sales[[#This Row],[Adjusted Land Total]]</f>
        <v>463700</v>
      </c>
      <c r="DB129">
        <f>IFERROR((Sales[[#This Row],[Adjusted Impr Total]]-Sales[[#This Row],[24Bldg]])/Sales[[#This Row],[24Bldg]],0)</f>
        <v>0.19768115942028985</v>
      </c>
      <c r="DC129">
        <f>(Sales[[#This Row],[Adjusted Land Total]]-Sales[[#This Row],[24Lnd]])/Sales[[#This Row],[24Lnd]]</f>
        <v>-0.41415313225058004</v>
      </c>
      <c r="DD129">
        <f>(Sales[[#This Row],[Adjusted Total]]-Sales[[#This Row],[24Final]])/Sales[[#This Row],[24Final]]</f>
        <v>7.5371057513914652E-2</v>
      </c>
      <c r="DE129">
        <f>(Sales[[#This Row],[Adjusted Total]]+Sales[[#This Row],[Days Prior Total]])/Sales[[#This Row],[Price]]</f>
        <v>1.0737144062439024</v>
      </c>
    </row>
    <row r="130" spans="1:109" x14ac:dyDescent="0.3">
      <c r="A130">
        <v>2025</v>
      </c>
      <c r="B130">
        <v>18131643444</v>
      </c>
      <c r="C130">
        <v>-0.96758402626170559</v>
      </c>
      <c r="D130">
        <v>0.38</v>
      </c>
      <c r="E130">
        <v>16455</v>
      </c>
      <c r="F130">
        <v>5</v>
      </c>
      <c r="G130" t="s">
        <v>89</v>
      </c>
      <c r="H130" t="s">
        <v>302</v>
      </c>
      <c r="I130" t="s">
        <v>302</v>
      </c>
      <c r="J130" t="s">
        <v>26</v>
      </c>
      <c r="K130">
        <v>11</v>
      </c>
      <c r="L130">
        <v>259</v>
      </c>
      <c r="M130" t="s">
        <v>172</v>
      </c>
      <c r="N130" t="s">
        <v>111</v>
      </c>
      <c r="O130" t="s">
        <v>207</v>
      </c>
      <c r="P130">
        <v>1972</v>
      </c>
      <c r="Q130">
        <v>1978</v>
      </c>
      <c r="R130">
        <v>60</v>
      </c>
      <c r="S130">
        <v>52</v>
      </c>
      <c r="T130">
        <v>46</v>
      </c>
      <c r="U130">
        <v>1</v>
      </c>
      <c r="V130">
        <v>2223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2223</v>
      </c>
      <c r="AC130">
        <v>2500</v>
      </c>
      <c r="AD130">
        <v>2</v>
      </c>
      <c r="AE130" t="s">
        <v>132</v>
      </c>
      <c r="AF130" t="s">
        <v>275</v>
      </c>
      <c r="AG130" t="s">
        <v>111</v>
      </c>
      <c r="AH130" t="s">
        <v>314</v>
      </c>
      <c r="AI130">
        <v>0</v>
      </c>
      <c r="AJ130">
        <v>1</v>
      </c>
      <c r="AK130">
        <v>1</v>
      </c>
      <c r="AL130">
        <v>0</v>
      </c>
      <c r="AM130">
        <v>1</v>
      </c>
      <c r="AN130">
        <v>12</v>
      </c>
      <c r="AO130">
        <v>579</v>
      </c>
      <c r="AP130">
        <v>0</v>
      </c>
      <c r="AQ130">
        <v>579</v>
      </c>
      <c r="AR130">
        <v>0</v>
      </c>
      <c r="AS130">
        <v>0</v>
      </c>
      <c r="AT130">
        <v>546</v>
      </c>
      <c r="AU130">
        <v>0</v>
      </c>
      <c r="AV130">
        <v>100</v>
      </c>
      <c r="AW130">
        <v>100</v>
      </c>
      <c r="AX130">
        <v>439573</v>
      </c>
      <c r="AY130">
        <v>378033</v>
      </c>
      <c r="AZ130">
        <v>42</v>
      </c>
      <c r="BA130">
        <v>42</v>
      </c>
      <c r="BB130">
        <v>0</v>
      </c>
      <c r="BC130">
        <v>0</v>
      </c>
      <c r="BD130" s="6">
        <v>45250</v>
      </c>
      <c r="BE130" t="s">
        <v>80</v>
      </c>
      <c r="BF130">
        <v>535000</v>
      </c>
      <c r="BG130">
        <v>535000</v>
      </c>
      <c r="BH130" t="s">
        <v>198</v>
      </c>
      <c r="BI130">
        <v>30</v>
      </c>
      <c r="BJ130" t="s">
        <v>51</v>
      </c>
      <c r="BK130" t="s">
        <v>314</v>
      </c>
      <c r="BL130">
        <v>526800</v>
      </c>
      <c r="BM130">
        <v>105600</v>
      </c>
      <c r="BN130">
        <v>421200</v>
      </c>
      <c r="BO130">
        <v>0</v>
      </c>
      <c r="BP130">
        <v>0.98467289719626172</v>
      </c>
      <c r="BQ130">
        <v>558250.36771920417</v>
      </c>
      <c r="BR130">
        <v>564893.17015354079</v>
      </c>
      <c r="BS130" s="7">
        <f>(BR130-BL130)/BL130</f>
        <v>7.2310497633904319E-2</v>
      </c>
      <c r="BT130" s="14">
        <f>(Sales[[#This Row],[DP1]]*Lookups!$B$51)+(Sales[[#This Row],[DP2]]*Lookups!$B$52)+(Sales[[#This Row],[DP3]]*Lookups!$B$53)</f>
        <v>-6642.8040000000001</v>
      </c>
      <c r="BU130" s="14">
        <f>Lookups!$B$48*0.5</f>
        <v>87214.824999999997</v>
      </c>
      <c r="BV130" s="14">
        <f>Lookups!$B$48*0.5</f>
        <v>87214.824999999997</v>
      </c>
      <c r="BW130" s="14">
        <f>Lookups!$B$49*Sales[[#This Row],[LnAcres]]</f>
        <v>-24216.544001337923</v>
      </c>
      <c r="BX130" s="14">
        <f>VLOOKUP(Sales[[#This Row],[Qlty]],Lookups!$A$54:$E$67,2,FALSE)</f>
        <v>-14329.694740000001</v>
      </c>
      <c r="BY130" s="14">
        <f>VLOOKUP(Sales[[#This Row],[Cnd]],Lookups!$A$68:$E$76,2,FALSE)</f>
        <v>47273.897095</v>
      </c>
      <c r="BZ130" s="14">
        <f>Sales[[#This Row],[Age]]*Lookups!$B$77</f>
        <v>9594.6463599999988</v>
      </c>
      <c r="CA130" s="14">
        <f>Sales[[#This Row],[MainFn]]*Lookups!$B$78</f>
        <v>153572.52935700002</v>
      </c>
      <c r="CB130" s="14">
        <f>Sales[[#This Row],[UpprFn]]*Lookups!$B$79</f>
        <v>0</v>
      </c>
      <c r="CC130" s="14">
        <f>Sales[[#This Row],[AddFn]]*Lookups!$B$80</f>
        <v>0</v>
      </c>
      <c r="CD130" s="14">
        <f>Sales[[#This Row],[Bsmt]]*Lookups!$B$81</f>
        <v>0</v>
      </c>
      <c r="CE130" s="14">
        <f>Sales[[#This Row],[Fixtures]]*Lookups!$B$84</f>
        <v>121861.20000000001</v>
      </c>
      <c r="CF130" s="14">
        <f>Sales[[#This Row],[MsnryFP]]*Lookups!$B$82</f>
        <v>25273.623</v>
      </c>
      <c r="CG130" s="14">
        <f>Sales[[#This Row],[PrefabFP]]*Lookups!$B$83</f>
        <v>42091.021999999997</v>
      </c>
      <c r="CH130" s="14">
        <f>Sales[[#This Row],[GarageArea]]*Lookups!$B$85</f>
        <v>29342.849762999998</v>
      </c>
      <c r="CI130" s="14">
        <f>SUM(Sales[[#This Row],[Days Prior Total]:[Mdl GarageArea]])</f>
        <v>558250.37483366218</v>
      </c>
      <c r="CJ130" s="14">
        <f>ROUND(Sales[[#This Row],[25Det]],-2)</f>
        <v>0</v>
      </c>
      <c r="CK130" s="14">
        <f>ROUND(SUM(Sales[[#This Row],[Mdl Qlty]:[Mdl GarageArea]])+Sales[[#This Row],[Mdl Res Intercept]]+Sales[[#This Row],[Days Prior Total]],-2)</f>
        <v>495300</v>
      </c>
      <c r="CL130" s="14">
        <f>ROUND(Sales[[#This Row],[Mdl Land Intercept]]+Sales[[#This Row],[Mdl LnAcres]],-2)</f>
        <v>63000</v>
      </c>
      <c r="CM130" s="14">
        <f>Sales[[#This Row],[Unadj Res Value]]+Sales[[#This Row],[Unadj Det Value]]+Sales[[#This Row],[Unadj Land Value]]</f>
        <v>558300</v>
      </c>
      <c r="CN130" s="15">
        <f>Sales[[#This Row],[Unadj Total Value]]/Sales[[#This Row],[Price]]</f>
        <v>1.043551401869159</v>
      </c>
      <c r="CO130" s="15">
        <f>(Sales[[#This Row],[Unadj Total Value]]-Sales[[#This Row],[24Final]])/Sales[[#This Row],[24Final]]</f>
        <v>5.9794988610478363E-2</v>
      </c>
      <c r="CP130">
        <f>VLOOKUP(Sales[[#This Row],[TNbhd]],Lookups!$M$2:$P$4,4,FALSE)</f>
        <v>0.97570000000000001</v>
      </c>
      <c r="CQ130">
        <f>VLOOKUP(Sales[[#This Row],[Qlty]],Lookups!$M$6:$P$20,4,FALSE)</f>
        <v>0.98809999999999998</v>
      </c>
      <c r="CR130">
        <f>VLOOKUP(Sales[[#This Row],[Cnd]],Lookups!$R$6:$U$15,4,FALSE)</f>
        <v>0.97829999999999995</v>
      </c>
      <c r="CS130">
        <f>VLOOKUP(Sales[[#This Row],[LivArea Range]],Lookups!$R$23:$U$39,4,FALSE)</f>
        <v>0.93440000000000001</v>
      </c>
      <c r="CT130">
        <f>VLOOKUP(Sales[[#This Row],[Decade]],Lookups!$M$23:$P$35,4,FALSE)</f>
        <v>0.97289999999999999</v>
      </c>
      <c r="CU130">
        <f>Sales[[#This Row],[Nbhd Adj]]*0.95</f>
        <v>0.92691499999999993</v>
      </c>
      <c r="CV130">
        <f>Sales[[#This Row],[Nbhd Adj]]*Sales[[#This Row],[Quality Adj]]*Sales[[#This Row],[Condition Adj]]*Sales[[#This Row],[Living Area Adj]]*Sales[[#This Row],[Decade Adj]]*0.95</f>
        <v>0.81454277579237999</v>
      </c>
      <c r="CW130">
        <f>ROUND(SUM(Sales[[#This Row],[Mdl Qlty]:[Mdl GarageArea]])+Sales[[#This Row],[Mdl Res Intercept]]*Sales[[#This Row],[Res Adj ]],-2)</f>
        <v>485700</v>
      </c>
      <c r="CX130">
        <f>ROUND(Sales[[#This Row],[25Det]]*Sales[[#This Row],[Det/Nbhd Adj]],-2)</f>
        <v>0</v>
      </c>
      <c r="CY130">
        <f>Sales[[#This Row],[Adjusted Res]]+Sales[[#This Row],[Adj Det ]]</f>
        <v>485700</v>
      </c>
      <c r="CZ130">
        <f>ROUND((Sales[[#This Row],[Mdl Land Intercept]]+Sales[[#This Row],[Mdl LnAcres]])*Sales[[#This Row],[Det/Nbhd Adj]],-2)</f>
        <v>58400</v>
      </c>
      <c r="DA130">
        <f>Sales[[#This Row],[Adjusted Impr Total]]+Sales[[#This Row],[Adjusted Land Total]]</f>
        <v>544100</v>
      </c>
      <c r="DB130">
        <f>IFERROR((Sales[[#This Row],[Adjusted Impr Total]]-Sales[[#This Row],[24Bldg]])/Sales[[#This Row],[24Bldg]],0)</f>
        <v>0.15313390313390313</v>
      </c>
      <c r="DC130">
        <f>(Sales[[#This Row],[Adjusted Land Total]]-Sales[[#This Row],[24Lnd]])/Sales[[#This Row],[24Lnd]]</f>
        <v>-0.44696969696969696</v>
      </c>
      <c r="DD130">
        <f>(Sales[[#This Row],[Adjusted Total]]-Sales[[#This Row],[24Final]])/Sales[[#This Row],[24Final]]</f>
        <v>3.2839787395596051E-2</v>
      </c>
      <c r="DE130">
        <f>(Sales[[#This Row],[Adjusted Total]]+Sales[[#This Row],[Days Prior Total]])/Sales[[#This Row],[Price]]</f>
        <v>1.0045928897196261</v>
      </c>
    </row>
    <row r="131" spans="1:109" x14ac:dyDescent="0.3">
      <c r="A131">
        <v>2025</v>
      </c>
      <c r="B131">
        <v>18131644543</v>
      </c>
      <c r="C131">
        <v>-1.0788096613719298</v>
      </c>
      <c r="D131">
        <v>0.34</v>
      </c>
      <c r="E131">
        <v>14752</v>
      </c>
      <c r="F131">
        <v>5</v>
      </c>
      <c r="G131" t="s">
        <v>89</v>
      </c>
      <c r="H131">
        <v>3042</v>
      </c>
      <c r="I131" t="s">
        <v>302</v>
      </c>
      <c r="J131" t="s">
        <v>26</v>
      </c>
      <c r="K131">
        <v>11</v>
      </c>
      <c r="L131">
        <v>259</v>
      </c>
      <c r="M131" t="s">
        <v>172</v>
      </c>
      <c r="N131" t="s">
        <v>257</v>
      </c>
      <c r="O131" t="s">
        <v>207</v>
      </c>
      <c r="P131">
        <v>1970</v>
      </c>
      <c r="Q131">
        <v>1977</v>
      </c>
      <c r="R131">
        <v>60</v>
      </c>
      <c r="S131">
        <v>54</v>
      </c>
      <c r="T131">
        <v>47</v>
      </c>
      <c r="U131">
        <v>1</v>
      </c>
      <c r="V131">
        <v>1850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1850</v>
      </c>
      <c r="AC131">
        <v>2000</v>
      </c>
      <c r="AD131">
        <v>2</v>
      </c>
      <c r="AF131" t="s">
        <v>275</v>
      </c>
      <c r="AG131" t="s">
        <v>111</v>
      </c>
      <c r="AH131" t="s">
        <v>314</v>
      </c>
      <c r="AI131">
        <v>0</v>
      </c>
      <c r="AJ131">
        <v>1</v>
      </c>
      <c r="AK131">
        <v>0</v>
      </c>
      <c r="AL131">
        <v>1</v>
      </c>
      <c r="AM131">
        <v>0</v>
      </c>
      <c r="AN131">
        <v>9</v>
      </c>
      <c r="AO131">
        <v>588</v>
      </c>
      <c r="AP131">
        <v>0</v>
      </c>
      <c r="AQ131">
        <v>588</v>
      </c>
      <c r="AR131">
        <v>0</v>
      </c>
      <c r="AS131">
        <v>0</v>
      </c>
      <c r="AT131">
        <v>104</v>
      </c>
      <c r="AU131">
        <v>104</v>
      </c>
      <c r="AV131">
        <v>100</v>
      </c>
      <c r="AW131">
        <v>100</v>
      </c>
      <c r="AX131">
        <v>286664</v>
      </c>
      <c r="AY131">
        <v>235064</v>
      </c>
      <c r="AZ131">
        <v>755</v>
      </c>
      <c r="BA131">
        <v>365</v>
      </c>
      <c r="BB131">
        <v>365</v>
      </c>
      <c r="BC131">
        <v>25</v>
      </c>
      <c r="BD131" s="6">
        <v>44537</v>
      </c>
      <c r="BE131" t="s">
        <v>59</v>
      </c>
      <c r="BF131">
        <v>420000</v>
      </c>
      <c r="BG131">
        <v>386271</v>
      </c>
      <c r="BH131" t="s">
        <v>198</v>
      </c>
      <c r="BI131">
        <v>30</v>
      </c>
      <c r="BJ131" t="s">
        <v>51</v>
      </c>
      <c r="BK131" t="s">
        <v>314</v>
      </c>
      <c r="BL131">
        <v>457600</v>
      </c>
      <c r="BM131">
        <v>99200</v>
      </c>
      <c r="BN131">
        <v>358400</v>
      </c>
      <c r="BO131">
        <v>33729</v>
      </c>
      <c r="BP131">
        <v>1.0895238095238096</v>
      </c>
      <c r="BQ131">
        <v>448223.79903644253</v>
      </c>
      <c r="BR131">
        <v>478939.80740769993</v>
      </c>
      <c r="BS131" s="7">
        <f>(BR131-BL131)/BL131</f>
        <v>4.6634194509833769E-2</v>
      </c>
      <c r="BT131" s="14">
        <f>(Sales[[#This Row],[DP1]]*Lookups!$B$51)+(Sales[[#This Row],[DP2]]*Lookups!$B$52)+(Sales[[#This Row],[DP3]]*Lookups!$B$53)</f>
        <v>-30716.020710000004</v>
      </c>
      <c r="BU131" s="14">
        <f>Lookups!$B$48*0.5</f>
        <v>87214.824999999997</v>
      </c>
      <c r="BV131" s="14">
        <f>Lookups!$B$48*0.5</f>
        <v>87214.824999999997</v>
      </c>
      <c r="BW131" s="14">
        <f>Lookups!$B$49*Sales[[#This Row],[LnAcres]]</f>
        <v>-27000.28206812881</v>
      </c>
      <c r="BX131" s="14">
        <f>VLOOKUP(Sales[[#This Row],[Qlty]],Lookups!$A$54:$E$67,2,FALSE)</f>
        <v>0</v>
      </c>
      <c r="BY131" s="14">
        <f>VLOOKUP(Sales[[#This Row],[Cnd]],Lookups!$A$68:$E$76,2,FALSE)</f>
        <v>47273.897095</v>
      </c>
      <c r="BZ131" s="14">
        <f>Sales[[#This Row],[Age]]*Lookups!$B$77</f>
        <v>9963.6712200000002</v>
      </c>
      <c r="CA131" s="14">
        <f>Sales[[#This Row],[MainFn]]*Lookups!$B$78</f>
        <v>127804.39915000001</v>
      </c>
      <c r="CB131" s="14">
        <f>Sales[[#This Row],[UpprFn]]*Lookups!$B$79</f>
        <v>0</v>
      </c>
      <c r="CC131" s="14">
        <f>Sales[[#This Row],[AddFn]]*Lookups!$B$80</f>
        <v>0</v>
      </c>
      <c r="CD131" s="14">
        <f>Sales[[#This Row],[Bsmt]]*Lookups!$B$81</f>
        <v>0</v>
      </c>
      <c r="CE131" s="14">
        <f>Sales[[#This Row],[Fixtures]]*Lookups!$B$84</f>
        <v>91395.900000000009</v>
      </c>
      <c r="CF131" s="14">
        <f>Sales[[#This Row],[MsnryFP]]*Lookups!$B$82</f>
        <v>25273.623</v>
      </c>
      <c r="CG131" s="14">
        <f>Sales[[#This Row],[PrefabFP]]*Lookups!$B$83</f>
        <v>0</v>
      </c>
      <c r="CH131" s="14">
        <f>Sales[[#This Row],[GarageArea]]*Lookups!$B$85</f>
        <v>29798.956236000002</v>
      </c>
      <c r="CI131" s="14">
        <f>SUM(Sales[[#This Row],[Days Prior Total]:[Mdl GarageArea]])</f>
        <v>448223.79392287118</v>
      </c>
      <c r="CJ131" s="14">
        <f>ROUND(Sales[[#This Row],[25Det]],-2)</f>
        <v>33700</v>
      </c>
      <c r="CK131" s="14">
        <f>ROUND(SUM(Sales[[#This Row],[Mdl Qlty]:[Mdl GarageArea]])+Sales[[#This Row],[Mdl Res Intercept]]+Sales[[#This Row],[Days Prior Total]],-2)</f>
        <v>388000</v>
      </c>
      <c r="CL131" s="14">
        <f>ROUND(Sales[[#This Row],[Mdl Land Intercept]]+Sales[[#This Row],[Mdl LnAcres]],-2)</f>
        <v>60200</v>
      </c>
      <c r="CM131" s="14">
        <f>Sales[[#This Row],[Unadj Res Value]]+Sales[[#This Row],[Unadj Det Value]]+Sales[[#This Row],[Unadj Land Value]]</f>
        <v>481900</v>
      </c>
      <c r="CN131" s="15">
        <f>Sales[[#This Row],[Unadj Total Value]]/Sales[[#This Row],[Price]]</f>
        <v>1.1473809523809524</v>
      </c>
      <c r="CO131" s="15">
        <f>(Sales[[#This Row],[Unadj Total Value]]-Sales[[#This Row],[24Final]])/Sales[[#This Row],[24Final]]</f>
        <v>5.3103146853146856E-2</v>
      </c>
      <c r="CP131">
        <f>VLOOKUP(Sales[[#This Row],[TNbhd]],Lookups!$M$2:$P$4,4,FALSE)</f>
        <v>0.97570000000000001</v>
      </c>
      <c r="CQ131">
        <f>VLOOKUP(Sales[[#This Row],[Qlty]],Lookups!$M$6:$P$20,4,FALSE)</f>
        <v>1.0046999999999999</v>
      </c>
      <c r="CR131">
        <f>VLOOKUP(Sales[[#This Row],[Cnd]],Lookups!$R$6:$U$15,4,FALSE)</f>
        <v>0.97829999999999995</v>
      </c>
      <c r="CS131">
        <f>VLOOKUP(Sales[[#This Row],[LivArea Range]],Lookups!$R$23:$U$39,4,FALSE)</f>
        <v>0.99099999999999999</v>
      </c>
      <c r="CT131">
        <f>VLOOKUP(Sales[[#This Row],[Decade]],Lookups!$M$23:$P$35,4,FALSE)</f>
        <v>0.97289999999999999</v>
      </c>
      <c r="CU131">
        <f>Sales[[#This Row],[Nbhd Adj]]*0.95</f>
        <v>0.92691499999999993</v>
      </c>
      <c r="CV131">
        <f>Sales[[#This Row],[Nbhd Adj]]*Sales[[#This Row],[Quality Adj]]*Sales[[#This Row],[Condition Adj]]*Sales[[#This Row],[Living Area Adj]]*Sales[[#This Row],[Decade Adj]]*0.95</f>
        <v>0.87839574616993676</v>
      </c>
      <c r="CW131">
        <f>ROUND(SUM(Sales[[#This Row],[Mdl Qlty]:[Mdl GarageArea]])+Sales[[#This Row],[Mdl Res Intercept]]*Sales[[#This Row],[Res Adj ]],-2)</f>
        <v>408100</v>
      </c>
      <c r="CX131">
        <f>ROUND(Sales[[#This Row],[25Det]]*Sales[[#This Row],[Det/Nbhd Adj]],-2)</f>
        <v>31300</v>
      </c>
      <c r="CY131">
        <f>Sales[[#This Row],[Adjusted Res]]+Sales[[#This Row],[Adj Det ]]</f>
        <v>439400</v>
      </c>
      <c r="CZ131">
        <f>ROUND((Sales[[#This Row],[Mdl Land Intercept]]+Sales[[#This Row],[Mdl LnAcres]])*Sales[[#This Row],[Det/Nbhd Adj]],-2)</f>
        <v>55800</v>
      </c>
      <c r="DA131">
        <f>Sales[[#This Row],[Adjusted Impr Total]]+Sales[[#This Row],[Adjusted Land Total]]</f>
        <v>495200</v>
      </c>
      <c r="DB131">
        <f>IFERROR((Sales[[#This Row],[Adjusted Impr Total]]-Sales[[#This Row],[24Bldg]])/Sales[[#This Row],[24Bldg]],0)</f>
        <v>0.22600446428571427</v>
      </c>
      <c r="DC131">
        <f>(Sales[[#This Row],[Adjusted Land Total]]-Sales[[#This Row],[24Lnd]])/Sales[[#This Row],[24Lnd]]</f>
        <v>-0.4375</v>
      </c>
      <c r="DD131">
        <f>(Sales[[#This Row],[Adjusted Total]]-Sales[[#This Row],[24Final]])/Sales[[#This Row],[24Final]]</f>
        <v>8.2167832167832161E-2</v>
      </c>
      <c r="DE131">
        <f>(Sales[[#This Row],[Adjusted Total]]+Sales[[#This Row],[Days Prior Total]])/Sales[[#This Row],[Price]]</f>
        <v>1.1059142364047618</v>
      </c>
    </row>
    <row r="132" spans="1:109" x14ac:dyDescent="0.3">
      <c r="A132">
        <v>2025</v>
      </c>
      <c r="B132">
        <v>18131644543</v>
      </c>
      <c r="C132">
        <v>-1.0788096613719298</v>
      </c>
      <c r="D132">
        <v>0.34</v>
      </c>
      <c r="E132">
        <v>14752</v>
      </c>
      <c r="F132">
        <v>5</v>
      </c>
      <c r="G132" t="s">
        <v>89</v>
      </c>
      <c r="H132">
        <v>3042</v>
      </c>
      <c r="I132" t="s">
        <v>302</v>
      </c>
      <c r="J132" t="s">
        <v>26</v>
      </c>
      <c r="K132">
        <v>11</v>
      </c>
      <c r="L132">
        <v>259</v>
      </c>
      <c r="M132" t="s">
        <v>172</v>
      </c>
      <c r="N132" t="s">
        <v>257</v>
      </c>
      <c r="O132" t="s">
        <v>207</v>
      </c>
      <c r="P132">
        <v>1970</v>
      </c>
      <c r="Q132">
        <v>1977</v>
      </c>
      <c r="R132">
        <v>60</v>
      </c>
      <c r="S132">
        <v>54</v>
      </c>
      <c r="T132">
        <v>47</v>
      </c>
      <c r="U132">
        <v>1</v>
      </c>
      <c r="V132">
        <v>1850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1850</v>
      </c>
      <c r="AC132">
        <v>2000</v>
      </c>
      <c r="AD132">
        <v>2</v>
      </c>
      <c r="AF132" t="s">
        <v>275</v>
      </c>
      <c r="AG132" t="s">
        <v>111</v>
      </c>
      <c r="AH132" t="s">
        <v>314</v>
      </c>
      <c r="AI132">
        <v>0</v>
      </c>
      <c r="AJ132">
        <v>1</v>
      </c>
      <c r="AK132">
        <v>0</v>
      </c>
      <c r="AL132">
        <v>1</v>
      </c>
      <c r="AM132">
        <v>0</v>
      </c>
      <c r="AN132">
        <v>9</v>
      </c>
      <c r="AO132">
        <v>588</v>
      </c>
      <c r="AP132">
        <v>0</v>
      </c>
      <c r="AQ132">
        <v>588</v>
      </c>
      <c r="AR132">
        <v>0</v>
      </c>
      <c r="AS132">
        <v>0</v>
      </c>
      <c r="AT132">
        <v>104</v>
      </c>
      <c r="AU132">
        <v>104</v>
      </c>
      <c r="AV132">
        <v>100</v>
      </c>
      <c r="AW132">
        <v>100</v>
      </c>
      <c r="AX132">
        <v>286664</v>
      </c>
      <c r="AY132">
        <v>235064</v>
      </c>
      <c r="AZ132">
        <v>514</v>
      </c>
      <c r="BA132">
        <v>365</v>
      </c>
      <c r="BB132">
        <v>149</v>
      </c>
      <c r="BC132">
        <v>0</v>
      </c>
      <c r="BD132" s="6">
        <v>44778</v>
      </c>
      <c r="BE132" t="s">
        <v>79</v>
      </c>
      <c r="BF132">
        <v>475000</v>
      </c>
      <c r="BG132">
        <v>441271</v>
      </c>
      <c r="BH132" t="s">
        <v>198</v>
      </c>
      <c r="BI132">
        <v>30</v>
      </c>
      <c r="BJ132" t="s">
        <v>51</v>
      </c>
      <c r="BK132" t="s">
        <v>314</v>
      </c>
      <c r="BL132">
        <v>457600</v>
      </c>
      <c r="BM132">
        <v>99200</v>
      </c>
      <c r="BN132">
        <v>358400</v>
      </c>
      <c r="BO132">
        <v>33729</v>
      </c>
      <c r="BP132">
        <v>0.96336842105263154</v>
      </c>
      <c r="BQ132">
        <v>435387.22834272962</v>
      </c>
      <c r="BR132">
        <v>478939.80740769993</v>
      </c>
      <c r="BS132" s="7">
        <f>(BR132-BL132)/BL132</f>
        <v>4.6634194509833769E-2</v>
      </c>
      <c r="BT132" s="14">
        <f>(Sales[[#This Row],[DP1]]*Lookups!$B$51)+(Sales[[#This Row],[DP2]]*Lookups!$B$52)+(Sales[[#This Row],[DP3]]*Lookups!$B$53)</f>
        <v>-43552.592646000005</v>
      </c>
      <c r="BU132" s="14">
        <f>Lookups!$B$48*0.5</f>
        <v>87214.824999999997</v>
      </c>
      <c r="BV132" s="14">
        <f>Lookups!$B$48*0.5</f>
        <v>87214.824999999997</v>
      </c>
      <c r="BW132" s="14">
        <f>Lookups!$B$49*Sales[[#This Row],[LnAcres]]</f>
        <v>-27000.28206812881</v>
      </c>
      <c r="BX132" s="14">
        <f>VLOOKUP(Sales[[#This Row],[Qlty]],Lookups!$A$54:$E$67,2,FALSE)</f>
        <v>0</v>
      </c>
      <c r="BY132" s="14">
        <f>VLOOKUP(Sales[[#This Row],[Cnd]],Lookups!$A$68:$E$76,2,FALSE)</f>
        <v>47273.897095</v>
      </c>
      <c r="BZ132" s="14">
        <f>Sales[[#This Row],[Age]]*Lookups!$B$77</f>
        <v>9963.6712200000002</v>
      </c>
      <c r="CA132" s="14">
        <f>Sales[[#This Row],[MainFn]]*Lookups!$B$78</f>
        <v>127804.39915000001</v>
      </c>
      <c r="CB132" s="14">
        <f>Sales[[#This Row],[UpprFn]]*Lookups!$B$79</f>
        <v>0</v>
      </c>
      <c r="CC132" s="14">
        <f>Sales[[#This Row],[AddFn]]*Lookups!$B$80</f>
        <v>0</v>
      </c>
      <c r="CD132" s="14">
        <f>Sales[[#This Row],[Bsmt]]*Lookups!$B$81</f>
        <v>0</v>
      </c>
      <c r="CE132" s="14">
        <f>Sales[[#This Row],[Fixtures]]*Lookups!$B$84</f>
        <v>91395.900000000009</v>
      </c>
      <c r="CF132" s="14">
        <f>Sales[[#This Row],[MsnryFP]]*Lookups!$B$82</f>
        <v>25273.623</v>
      </c>
      <c r="CG132" s="14">
        <f>Sales[[#This Row],[PrefabFP]]*Lookups!$B$83</f>
        <v>0</v>
      </c>
      <c r="CH132" s="14">
        <f>Sales[[#This Row],[GarageArea]]*Lookups!$B$85</f>
        <v>29798.956236000002</v>
      </c>
      <c r="CI132" s="14">
        <f>SUM(Sales[[#This Row],[Days Prior Total]:[Mdl GarageArea]])</f>
        <v>435387.22198687121</v>
      </c>
      <c r="CJ132" s="14">
        <f>ROUND(Sales[[#This Row],[25Det]],-2)</f>
        <v>33700</v>
      </c>
      <c r="CK132" s="14">
        <f>ROUND(SUM(Sales[[#This Row],[Mdl Qlty]:[Mdl GarageArea]])+Sales[[#This Row],[Mdl Res Intercept]]+Sales[[#This Row],[Days Prior Total]],-2)</f>
        <v>375200</v>
      </c>
      <c r="CL132" s="14">
        <f>ROUND(Sales[[#This Row],[Mdl Land Intercept]]+Sales[[#This Row],[Mdl LnAcres]],-2)</f>
        <v>60200</v>
      </c>
      <c r="CM132" s="14">
        <f>Sales[[#This Row],[Unadj Res Value]]+Sales[[#This Row],[Unadj Det Value]]+Sales[[#This Row],[Unadj Land Value]]</f>
        <v>469100</v>
      </c>
      <c r="CN132" s="15">
        <f>Sales[[#This Row],[Unadj Total Value]]/Sales[[#This Row],[Price]]</f>
        <v>0.987578947368421</v>
      </c>
      <c r="CO132" s="15">
        <f>(Sales[[#This Row],[Unadj Total Value]]-Sales[[#This Row],[24Final]])/Sales[[#This Row],[24Final]]</f>
        <v>2.513111888111888E-2</v>
      </c>
      <c r="CP132">
        <f>VLOOKUP(Sales[[#This Row],[TNbhd]],Lookups!$M$2:$P$4,4,FALSE)</f>
        <v>0.97570000000000001</v>
      </c>
      <c r="CQ132">
        <f>VLOOKUP(Sales[[#This Row],[Qlty]],Lookups!$M$6:$P$20,4,FALSE)</f>
        <v>1.0046999999999999</v>
      </c>
      <c r="CR132">
        <f>VLOOKUP(Sales[[#This Row],[Cnd]],Lookups!$R$6:$U$15,4,FALSE)</f>
        <v>0.97829999999999995</v>
      </c>
      <c r="CS132">
        <f>VLOOKUP(Sales[[#This Row],[LivArea Range]],Lookups!$R$23:$U$39,4,FALSE)</f>
        <v>0.99099999999999999</v>
      </c>
      <c r="CT132">
        <f>VLOOKUP(Sales[[#This Row],[Decade]],Lookups!$M$23:$P$35,4,FALSE)</f>
        <v>0.97289999999999999</v>
      </c>
      <c r="CU132">
        <f>Sales[[#This Row],[Nbhd Adj]]*0.95</f>
        <v>0.92691499999999993</v>
      </c>
      <c r="CV132">
        <f>Sales[[#This Row],[Nbhd Adj]]*Sales[[#This Row],[Quality Adj]]*Sales[[#This Row],[Condition Adj]]*Sales[[#This Row],[Living Area Adj]]*Sales[[#This Row],[Decade Adj]]*0.95</f>
        <v>0.87839574616993676</v>
      </c>
      <c r="CW132">
        <f>ROUND(SUM(Sales[[#This Row],[Mdl Qlty]:[Mdl GarageArea]])+Sales[[#This Row],[Mdl Res Intercept]]*Sales[[#This Row],[Res Adj ]],-2)</f>
        <v>408100</v>
      </c>
      <c r="CX132">
        <f>ROUND(Sales[[#This Row],[25Det]]*Sales[[#This Row],[Det/Nbhd Adj]],-2)</f>
        <v>31300</v>
      </c>
      <c r="CY132">
        <f>Sales[[#This Row],[Adjusted Res]]+Sales[[#This Row],[Adj Det ]]</f>
        <v>439400</v>
      </c>
      <c r="CZ132">
        <f>ROUND((Sales[[#This Row],[Mdl Land Intercept]]+Sales[[#This Row],[Mdl LnAcres]])*Sales[[#This Row],[Det/Nbhd Adj]],-2)</f>
        <v>55800</v>
      </c>
      <c r="DA132">
        <f>Sales[[#This Row],[Adjusted Impr Total]]+Sales[[#This Row],[Adjusted Land Total]]</f>
        <v>495200</v>
      </c>
      <c r="DB132">
        <f>IFERROR((Sales[[#This Row],[Adjusted Impr Total]]-Sales[[#This Row],[24Bldg]])/Sales[[#This Row],[24Bldg]],0)</f>
        <v>0.22600446428571427</v>
      </c>
      <c r="DC132">
        <f>(Sales[[#This Row],[Adjusted Land Total]]-Sales[[#This Row],[24Lnd]])/Sales[[#This Row],[24Lnd]]</f>
        <v>-0.4375</v>
      </c>
      <c r="DD132">
        <f>(Sales[[#This Row],[Adjusted Total]]-Sales[[#This Row],[24Final]])/Sales[[#This Row],[24Final]]</f>
        <v>8.2167832167832161E-2</v>
      </c>
      <c r="DE132">
        <f>(Sales[[#This Row],[Adjusted Total]]+Sales[[#This Row],[Days Prior Total]])/Sales[[#This Row],[Price]]</f>
        <v>0.95083664706105264</v>
      </c>
    </row>
    <row r="133" spans="1:109" x14ac:dyDescent="0.3">
      <c r="A133">
        <v>2025</v>
      </c>
      <c r="B133">
        <v>18131644429</v>
      </c>
      <c r="C133">
        <v>-3.5065578973199818</v>
      </c>
      <c r="D133">
        <v>0.03</v>
      </c>
      <c r="E133">
        <v>1288</v>
      </c>
      <c r="F133">
        <v>5</v>
      </c>
      <c r="G133" t="s">
        <v>25</v>
      </c>
      <c r="H133">
        <v>3042</v>
      </c>
      <c r="I133" t="s">
        <v>302</v>
      </c>
      <c r="J133" t="s">
        <v>26</v>
      </c>
      <c r="K133">
        <v>11</v>
      </c>
      <c r="L133">
        <v>262</v>
      </c>
      <c r="M133" t="s">
        <v>273</v>
      </c>
      <c r="N133" t="s">
        <v>111</v>
      </c>
      <c r="O133" t="s">
        <v>231</v>
      </c>
      <c r="P133">
        <v>1969</v>
      </c>
      <c r="Q133">
        <v>1977</v>
      </c>
      <c r="R133">
        <v>60</v>
      </c>
      <c r="S133">
        <v>55</v>
      </c>
      <c r="T133">
        <v>47</v>
      </c>
      <c r="U133">
        <v>1</v>
      </c>
      <c r="V133">
        <v>1288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1288</v>
      </c>
      <c r="AC133">
        <v>1500</v>
      </c>
      <c r="AD133">
        <v>2</v>
      </c>
      <c r="AF133" t="s">
        <v>275</v>
      </c>
      <c r="AG133" t="s">
        <v>274</v>
      </c>
      <c r="AH133" t="s">
        <v>314</v>
      </c>
      <c r="AI133">
        <v>0</v>
      </c>
      <c r="AJ133">
        <v>1</v>
      </c>
      <c r="AK133">
        <v>0</v>
      </c>
      <c r="AL133">
        <v>0</v>
      </c>
      <c r="AM133">
        <v>1</v>
      </c>
      <c r="AN133">
        <v>10</v>
      </c>
      <c r="AO133">
        <v>0</v>
      </c>
      <c r="AP133">
        <v>660</v>
      </c>
      <c r="AQ133">
        <v>660</v>
      </c>
      <c r="AR133">
        <v>0</v>
      </c>
      <c r="AS133">
        <v>0</v>
      </c>
      <c r="AT133">
        <v>144</v>
      </c>
      <c r="AU133">
        <v>0</v>
      </c>
      <c r="AV133">
        <v>100</v>
      </c>
      <c r="AW133">
        <v>100</v>
      </c>
      <c r="AX133">
        <v>258551</v>
      </c>
      <c r="AY133">
        <v>201670</v>
      </c>
      <c r="AZ133">
        <v>850</v>
      </c>
      <c r="BA133">
        <v>365</v>
      </c>
      <c r="BB133">
        <v>365</v>
      </c>
      <c r="BC133">
        <v>120</v>
      </c>
      <c r="BD133" s="6">
        <v>44442</v>
      </c>
      <c r="BE133" t="s">
        <v>53</v>
      </c>
      <c r="BF133">
        <v>300000</v>
      </c>
      <c r="BG133">
        <v>300000</v>
      </c>
      <c r="BH133" t="s">
        <v>198</v>
      </c>
      <c r="BI133">
        <v>30</v>
      </c>
      <c r="BJ133" t="s">
        <v>51</v>
      </c>
      <c r="BK133" t="s">
        <v>314</v>
      </c>
      <c r="BL133">
        <v>265500</v>
      </c>
      <c r="BM133">
        <v>39800</v>
      </c>
      <c r="BN133">
        <v>225700</v>
      </c>
      <c r="BO133">
        <v>0</v>
      </c>
      <c r="BP133">
        <v>0.88500000000000001</v>
      </c>
      <c r="BQ133">
        <v>271706.78266606131</v>
      </c>
      <c r="BR133">
        <v>331738.46561847185</v>
      </c>
      <c r="BS133" s="7">
        <f>(BR133-BL133)/BL133</f>
        <v>0.24948574620893352</v>
      </c>
      <c r="BT133" s="14">
        <f>(Sales[[#This Row],[DP1]]*Lookups!$B$51)+(Sales[[#This Row],[DP2]]*Lookups!$B$52)+(Sales[[#This Row],[DP3]]*Lookups!$B$53)</f>
        <v>-60031.690710000003</v>
      </c>
      <c r="BU133" s="14">
        <f>Lookups!$B$48*0.5</f>
        <v>87214.824999999997</v>
      </c>
      <c r="BV133" s="14">
        <f>Lookups!$B$48*0.5</f>
        <v>87214.824999999997</v>
      </c>
      <c r="BW133" s="14">
        <f>Lookups!$B$49*Sales[[#This Row],[LnAcres]]</f>
        <v>-87761.591044208326</v>
      </c>
      <c r="BX133" s="14">
        <f>VLOOKUP(Sales[[#This Row],[Qlty]],Lookups!$A$54:$E$67,2,FALSE)</f>
        <v>-14329.694740000001</v>
      </c>
      <c r="BY133" s="14">
        <f>VLOOKUP(Sales[[#This Row],[Cnd]],Lookups!$A$68:$E$76,2,FALSE)</f>
        <v>0</v>
      </c>
      <c r="BZ133" s="14">
        <f>Sales[[#This Row],[Age]]*Lookups!$B$77</f>
        <v>10148.183649999999</v>
      </c>
      <c r="CA133" s="14">
        <f>Sales[[#This Row],[MainFn]]*Lookups!$B$78</f>
        <v>88979.495192000002</v>
      </c>
      <c r="CB133" s="14">
        <f>Sales[[#This Row],[UpprFn]]*Lookups!$B$79</f>
        <v>0</v>
      </c>
      <c r="CC133" s="14">
        <f>Sales[[#This Row],[AddFn]]*Lookups!$B$80</f>
        <v>0</v>
      </c>
      <c r="CD133" s="14">
        <f>Sales[[#This Row],[Bsmt]]*Lookups!$B$81</f>
        <v>0</v>
      </c>
      <c r="CE133" s="14">
        <f>Sales[[#This Row],[Fixtures]]*Lookups!$B$84</f>
        <v>101551</v>
      </c>
      <c r="CF133" s="14">
        <f>Sales[[#This Row],[MsnryFP]]*Lookups!$B$82</f>
        <v>25273.623</v>
      </c>
      <c r="CG133" s="14">
        <f>Sales[[#This Row],[PrefabFP]]*Lookups!$B$83</f>
        <v>0</v>
      </c>
      <c r="CH133" s="14">
        <f>Sales[[#This Row],[GarageArea]]*Lookups!$B$85</f>
        <v>33447.808019999997</v>
      </c>
      <c r="CI133" s="14">
        <f>SUM(Sales[[#This Row],[Days Prior Total]:[Mdl GarageArea]])</f>
        <v>271706.78336779168</v>
      </c>
      <c r="CJ133" s="14">
        <f>ROUND(Sales[[#This Row],[25Det]],-2)</f>
        <v>0</v>
      </c>
      <c r="CK133" s="14">
        <f>ROUND(SUM(Sales[[#This Row],[Mdl Qlty]:[Mdl GarageArea]])+Sales[[#This Row],[Mdl Res Intercept]]+Sales[[#This Row],[Days Prior Total]],-2)</f>
        <v>272300</v>
      </c>
      <c r="CL133" s="14">
        <f>ROUND(Sales[[#This Row],[Mdl Land Intercept]]+Sales[[#This Row],[Mdl LnAcres]],-2)</f>
        <v>-500</v>
      </c>
      <c r="CM133" s="14">
        <f>Sales[[#This Row],[Unadj Res Value]]+Sales[[#This Row],[Unadj Det Value]]+Sales[[#This Row],[Unadj Land Value]]</f>
        <v>271800</v>
      </c>
      <c r="CN133" s="15">
        <f>Sales[[#This Row],[Unadj Total Value]]/Sales[[#This Row],[Price]]</f>
        <v>0.90600000000000003</v>
      </c>
      <c r="CO133" s="15">
        <f>(Sales[[#This Row],[Unadj Total Value]]-Sales[[#This Row],[24Final]])/Sales[[#This Row],[24Final]]</f>
        <v>2.3728813559322035E-2</v>
      </c>
      <c r="CP133">
        <f>VLOOKUP(Sales[[#This Row],[TNbhd]],Lookups!$M$2:$P$4,4,FALSE)</f>
        <v>0.97570000000000001</v>
      </c>
      <c r="CQ133">
        <f>VLOOKUP(Sales[[#This Row],[Qlty]],Lookups!$M$6:$P$20,4,FALSE)</f>
        <v>0.98809999999999998</v>
      </c>
      <c r="CR133">
        <f>VLOOKUP(Sales[[#This Row],[Cnd]],Lookups!$R$6:$U$15,4,FALSE)</f>
        <v>0.9677</v>
      </c>
      <c r="CS133">
        <f>VLOOKUP(Sales[[#This Row],[LivArea Range]],Lookups!$R$23:$U$39,4,FALSE)</f>
        <v>1.0062</v>
      </c>
      <c r="CT133">
        <f>VLOOKUP(Sales[[#This Row],[Decade]],Lookups!$M$23:$P$35,4,FALSE)</f>
        <v>0.97289999999999999</v>
      </c>
      <c r="CU133">
        <f>Sales[[#This Row],[Nbhd Adj]]*0.95</f>
        <v>0.92691499999999993</v>
      </c>
      <c r="CV133">
        <f>Sales[[#This Row],[Nbhd Adj]]*Sales[[#This Row],[Quality Adj]]*Sales[[#This Row],[Condition Adj]]*Sales[[#This Row],[Living Area Adj]]*Sales[[#This Row],[Decade Adj]]*0.95</f>
        <v>0.86762901473962595</v>
      </c>
      <c r="CW133">
        <f>ROUND(SUM(Sales[[#This Row],[Mdl Qlty]:[Mdl GarageArea]])+Sales[[#This Row],[Mdl Res Intercept]]*Sales[[#This Row],[Res Adj ]],-2)</f>
        <v>320700</v>
      </c>
      <c r="CX133">
        <f>ROUND(Sales[[#This Row],[25Det]]*Sales[[#This Row],[Det/Nbhd Adj]],-2)</f>
        <v>0</v>
      </c>
      <c r="CY133">
        <f>Sales[[#This Row],[Adjusted Res]]+Sales[[#This Row],[Adj Det ]]</f>
        <v>320700</v>
      </c>
      <c r="CZ133">
        <f>ROUND((Sales[[#This Row],[Mdl Land Intercept]]+Sales[[#This Row],[Mdl LnAcres]])*Sales[[#This Row],[Det/Nbhd Adj]],-2)</f>
        <v>-500</v>
      </c>
      <c r="DA133">
        <f>Sales[[#This Row],[Adjusted Impr Total]]+Sales[[#This Row],[Adjusted Land Total]]</f>
        <v>320200</v>
      </c>
      <c r="DB133">
        <f>IFERROR((Sales[[#This Row],[Adjusted Impr Total]]-Sales[[#This Row],[24Bldg]])/Sales[[#This Row],[24Bldg]],0)</f>
        <v>0.42091271599468322</v>
      </c>
      <c r="DC133">
        <f>(Sales[[#This Row],[Adjusted Land Total]]-Sales[[#This Row],[24Lnd]])/Sales[[#This Row],[24Lnd]]</f>
        <v>-1.0125628140703518</v>
      </c>
      <c r="DD133">
        <f>(Sales[[#This Row],[Adjusted Total]]-Sales[[#This Row],[24Final]])/Sales[[#This Row],[24Final]]</f>
        <v>0.20602636534839924</v>
      </c>
      <c r="DE133">
        <f>(Sales[[#This Row],[Adjusted Total]]+Sales[[#This Row],[Days Prior Total]])/Sales[[#This Row],[Price]]</f>
        <v>0.86722769763333329</v>
      </c>
    </row>
    <row r="134" spans="1:109" x14ac:dyDescent="0.3">
      <c r="A134">
        <v>2025</v>
      </c>
      <c r="B134">
        <v>18131644431</v>
      </c>
      <c r="C134">
        <v>-3.912023005428146</v>
      </c>
      <c r="D134">
        <v>0.02</v>
      </c>
      <c r="E134">
        <v>1467</v>
      </c>
      <c r="F134">
        <v>5</v>
      </c>
      <c r="G134" t="s">
        <v>25</v>
      </c>
      <c r="H134">
        <v>3042</v>
      </c>
      <c r="I134" t="s">
        <v>302</v>
      </c>
      <c r="J134" t="s">
        <v>26</v>
      </c>
      <c r="K134">
        <v>11</v>
      </c>
      <c r="L134">
        <v>262</v>
      </c>
      <c r="M134" t="s">
        <v>273</v>
      </c>
      <c r="N134" t="s">
        <v>111</v>
      </c>
      <c r="O134" t="s">
        <v>231</v>
      </c>
      <c r="P134">
        <v>1969</v>
      </c>
      <c r="Q134">
        <v>1977</v>
      </c>
      <c r="R134">
        <v>60</v>
      </c>
      <c r="S134">
        <v>55</v>
      </c>
      <c r="T134">
        <v>47</v>
      </c>
      <c r="U134">
        <v>2</v>
      </c>
      <c r="V134">
        <v>1026</v>
      </c>
      <c r="W134">
        <v>720</v>
      </c>
      <c r="X134">
        <v>0</v>
      </c>
      <c r="Y134">
        <v>0</v>
      </c>
      <c r="Z134">
        <v>0</v>
      </c>
      <c r="AA134">
        <v>0</v>
      </c>
      <c r="AB134">
        <v>1746</v>
      </c>
      <c r="AC134">
        <v>2000</v>
      </c>
      <c r="AD134">
        <v>2</v>
      </c>
      <c r="AE134" t="s">
        <v>5</v>
      </c>
      <c r="AF134" t="s">
        <v>275</v>
      </c>
      <c r="AG134" t="s">
        <v>111</v>
      </c>
      <c r="AH134" t="s">
        <v>314</v>
      </c>
      <c r="AI134">
        <v>0</v>
      </c>
      <c r="AJ134">
        <v>1</v>
      </c>
      <c r="AK134">
        <v>0</v>
      </c>
      <c r="AL134">
        <v>0</v>
      </c>
      <c r="AM134">
        <v>1</v>
      </c>
      <c r="AN134">
        <v>10</v>
      </c>
      <c r="AO134">
        <v>441</v>
      </c>
      <c r="AP134">
        <v>0</v>
      </c>
      <c r="AQ134">
        <v>441</v>
      </c>
      <c r="AR134">
        <v>0</v>
      </c>
      <c r="AS134">
        <v>0</v>
      </c>
      <c r="AT134">
        <v>100</v>
      </c>
      <c r="AU134">
        <v>0</v>
      </c>
      <c r="AV134">
        <v>100</v>
      </c>
      <c r="AW134">
        <v>100</v>
      </c>
      <c r="AX134">
        <v>340612</v>
      </c>
      <c r="AY134">
        <v>258865</v>
      </c>
      <c r="AZ134">
        <v>74</v>
      </c>
      <c r="BA134">
        <v>74</v>
      </c>
      <c r="BB134">
        <v>0</v>
      </c>
      <c r="BC134">
        <v>0</v>
      </c>
      <c r="BD134" s="6">
        <v>45218</v>
      </c>
      <c r="BE134" t="s">
        <v>92</v>
      </c>
      <c r="BF134">
        <v>290000</v>
      </c>
      <c r="BG134">
        <v>290000</v>
      </c>
      <c r="BH134" t="s">
        <v>198</v>
      </c>
      <c r="BI134">
        <v>30</v>
      </c>
      <c r="BJ134" t="s">
        <v>51</v>
      </c>
      <c r="BK134" t="s">
        <v>314</v>
      </c>
      <c r="BL134">
        <v>284800</v>
      </c>
      <c r="BM134">
        <v>42700</v>
      </c>
      <c r="BN134">
        <v>242100</v>
      </c>
      <c r="BO134">
        <v>0</v>
      </c>
      <c r="BP134">
        <v>0.98206896551724143</v>
      </c>
      <c r="BQ134">
        <v>324740.71087386482</v>
      </c>
      <c r="BR134">
        <v>336444.69611531514</v>
      </c>
      <c r="BS134" s="7">
        <f>(BR134-BL134)/BL134</f>
        <v>0.1813367138880447</v>
      </c>
      <c r="BT134" s="14">
        <f>(Sales[[#This Row],[DP1]]*Lookups!$B$51)+(Sales[[#This Row],[DP2]]*Lookups!$B$52)+(Sales[[#This Row],[DP3]]*Lookups!$B$53)</f>
        <v>-11703.988000000001</v>
      </c>
      <c r="BU134" s="14">
        <f>Lookups!$B$48*0.5</f>
        <v>87214.824999999997</v>
      </c>
      <c r="BV134" s="14">
        <f>Lookups!$B$48*0.5</f>
        <v>87214.824999999997</v>
      </c>
      <c r="BW134" s="14">
        <f>Lookups!$B$49*Sales[[#This Row],[LnAcres]]</f>
        <v>-97909.509328312808</v>
      </c>
      <c r="BX134" s="14">
        <f>VLOOKUP(Sales[[#This Row],[Qlty]],Lookups!$A$54:$E$67,2,FALSE)</f>
        <v>-14329.694740000001</v>
      </c>
      <c r="BY134" s="14">
        <f>VLOOKUP(Sales[[#This Row],[Cnd]],Lookups!$A$68:$E$76,2,FALSE)</f>
        <v>0</v>
      </c>
      <c r="BZ134" s="14">
        <f>Sales[[#This Row],[Age]]*Lookups!$B$77</f>
        <v>10148.183649999999</v>
      </c>
      <c r="CA134" s="14">
        <f>Sales[[#This Row],[MainFn]]*Lookups!$B$78</f>
        <v>70879.628934000008</v>
      </c>
      <c r="CB134" s="14">
        <f>Sales[[#This Row],[UpprFn]]*Lookups!$B$79</f>
        <v>44052.606</v>
      </c>
      <c r="CC134" s="14">
        <f>Sales[[#This Row],[AddFn]]*Lookups!$B$80</f>
        <v>0</v>
      </c>
      <c r="CD134" s="14">
        <f>Sales[[#This Row],[Bsmt]]*Lookups!$B$81</f>
        <v>0</v>
      </c>
      <c r="CE134" s="14">
        <f>Sales[[#This Row],[Fixtures]]*Lookups!$B$84</f>
        <v>101551</v>
      </c>
      <c r="CF134" s="14">
        <f>Sales[[#This Row],[MsnryFP]]*Lookups!$B$82</f>
        <v>25273.623</v>
      </c>
      <c r="CG134" s="14">
        <f>Sales[[#This Row],[PrefabFP]]*Lookups!$B$83</f>
        <v>0</v>
      </c>
      <c r="CH134" s="14">
        <f>Sales[[#This Row],[GarageArea]]*Lookups!$B$85</f>
        <v>22349.217176999999</v>
      </c>
      <c r="CI134" s="14">
        <f>SUM(Sales[[#This Row],[Days Prior Total]:[Mdl GarageArea]])</f>
        <v>324740.71669268725</v>
      </c>
      <c r="CJ134" s="14">
        <f>ROUND(Sales[[#This Row],[25Det]],-2)</f>
        <v>0</v>
      </c>
      <c r="CK134" s="14">
        <f>ROUND(SUM(Sales[[#This Row],[Mdl Qlty]:[Mdl GarageArea]])+Sales[[#This Row],[Mdl Res Intercept]]+Sales[[#This Row],[Days Prior Total]],-2)</f>
        <v>335400</v>
      </c>
      <c r="CL134" s="14">
        <f>ROUND(Sales[[#This Row],[Mdl Land Intercept]]+Sales[[#This Row],[Mdl LnAcres]],-2)</f>
        <v>-10700</v>
      </c>
      <c r="CM134" s="14">
        <f>Sales[[#This Row],[Unadj Res Value]]+Sales[[#This Row],[Unadj Det Value]]+Sales[[#This Row],[Unadj Land Value]]</f>
        <v>324700</v>
      </c>
      <c r="CN134" s="15">
        <f>Sales[[#This Row],[Unadj Total Value]]/Sales[[#This Row],[Price]]</f>
        <v>1.1196551724137931</v>
      </c>
      <c r="CO134" s="15">
        <f>(Sales[[#This Row],[Unadj Total Value]]-Sales[[#This Row],[24Final]])/Sales[[#This Row],[24Final]]</f>
        <v>0.14009831460674158</v>
      </c>
      <c r="CP134">
        <f>VLOOKUP(Sales[[#This Row],[TNbhd]],Lookups!$M$2:$P$4,4,FALSE)</f>
        <v>0.97570000000000001</v>
      </c>
      <c r="CQ134">
        <f>VLOOKUP(Sales[[#This Row],[Qlty]],Lookups!$M$6:$P$20,4,FALSE)</f>
        <v>0.98809999999999998</v>
      </c>
      <c r="CR134">
        <f>VLOOKUP(Sales[[#This Row],[Cnd]],Lookups!$R$6:$U$15,4,FALSE)</f>
        <v>0.9677</v>
      </c>
      <c r="CS134">
        <f>VLOOKUP(Sales[[#This Row],[LivArea Range]],Lookups!$R$23:$U$39,4,FALSE)</f>
        <v>0.99099999999999999</v>
      </c>
      <c r="CT134">
        <f>VLOOKUP(Sales[[#This Row],[Decade]],Lookups!$M$23:$P$35,4,FALSE)</f>
        <v>0.97289999999999999</v>
      </c>
      <c r="CU134">
        <f>Sales[[#This Row],[Nbhd Adj]]*0.95</f>
        <v>0.92691499999999993</v>
      </c>
      <c r="CV134">
        <f>Sales[[#This Row],[Nbhd Adj]]*Sales[[#This Row],[Quality Adj]]*Sales[[#This Row],[Condition Adj]]*Sales[[#This Row],[Living Area Adj]]*Sales[[#This Row],[Decade Adj]]*0.95</f>
        <v>0.85452231525240441</v>
      </c>
      <c r="CW134">
        <f>ROUND(SUM(Sales[[#This Row],[Mdl Qlty]:[Mdl GarageArea]])+Sales[[#This Row],[Mdl Res Intercept]]*Sales[[#This Row],[Res Adj ]],-2)</f>
        <v>334500</v>
      </c>
      <c r="CX134">
        <f>ROUND(Sales[[#This Row],[25Det]]*Sales[[#This Row],[Det/Nbhd Adj]],-2)</f>
        <v>0</v>
      </c>
      <c r="CY134">
        <f>Sales[[#This Row],[Adjusted Res]]+Sales[[#This Row],[Adj Det ]]</f>
        <v>334500</v>
      </c>
      <c r="CZ134">
        <f>ROUND((Sales[[#This Row],[Mdl Land Intercept]]+Sales[[#This Row],[Mdl LnAcres]])*Sales[[#This Row],[Det/Nbhd Adj]],-2)</f>
        <v>-9900</v>
      </c>
      <c r="DA134">
        <f>Sales[[#This Row],[Adjusted Impr Total]]+Sales[[#This Row],[Adjusted Land Total]]</f>
        <v>324600</v>
      </c>
      <c r="DB134">
        <f>IFERROR((Sales[[#This Row],[Adjusted Impr Total]]-Sales[[#This Row],[24Bldg]])/Sales[[#This Row],[24Bldg]],0)</f>
        <v>0.38166047087980176</v>
      </c>
      <c r="DC134">
        <f>(Sales[[#This Row],[Adjusted Land Total]]-Sales[[#This Row],[24Lnd]])/Sales[[#This Row],[24Lnd]]</f>
        <v>-1.2318501170960188</v>
      </c>
      <c r="DD134">
        <f>(Sales[[#This Row],[Adjusted Total]]-Sales[[#This Row],[24Final]])/Sales[[#This Row],[24Final]]</f>
        <v>0.13974719101123595</v>
      </c>
      <c r="DE134">
        <f>(Sales[[#This Row],[Adjusted Total]]+Sales[[#This Row],[Days Prior Total]])/Sales[[#This Row],[Price]]</f>
        <v>1.0789517655172414</v>
      </c>
    </row>
    <row r="135" spans="1:109" x14ac:dyDescent="0.3">
      <c r="A135">
        <v>2025</v>
      </c>
      <c r="B135">
        <v>18131644430</v>
      </c>
      <c r="C135">
        <v>-3.5065578973199818</v>
      </c>
      <c r="D135">
        <v>0.03</v>
      </c>
      <c r="E135">
        <v>1467</v>
      </c>
      <c r="F135">
        <v>5</v>
      </c>
      <c r="G135" t="s">
        <v>25</v>
      </c>
      <c r="H135">
        <v>3042</v>
      </c>
      <c r="I135" t="s">
        <v>302</v>
      </c>
      <c r="J135" t="s">
        <v>26</v>
      </c>
      <c r="K135">
        <v>11</v>
      </c>
      <c r="L135">
        <v>262</v>
      </c>
      <c r="M135" t="s">
        <v>273</v>
      </c>
      <c r="N135" t="s">
        <v>111</v>
      </c>
      <c r="O135" t="s">
        <v>231</v>
      </c>
      <c r="P135">
        <v>1969</v>
      </c>
      <c r="Q135">
        <v>1977</v>
      </c>
      <c r="R135">
        <v>60</v>
      </c>
      <c r="S135">
        <v>55</v>
      </c>
      <c r="T135">
        <v>47</v>
      </c>
      <c r="U135">
        <v>2</v>
      </c>
      <c r="V135">
        <v>1026</v>
      </c>
      <c r="W135">
        <v>720</v>
      </c>
      <c r="X135">
        <v>0</v>
      </c>
      <c r="Y135">
        <v>0</v>
      </c>
      <c r="Z135">
        <v>0</v>
      </c>
      <c r="AA135">
        <v>0</v>
      </c>
      <c r="AB135">
        <v>1746</v>
      </c>
      <c r="AC135">
        <v>2000</v>
      </c>
      <c r="AD135">
        <v>2</v>
      </c>
      <c r="AE135" t="s">
        <v>5</v>
      </c>
      <c r="AF135" t="s">
        <v>275</v>
      </c>
      <c r="AG135" t="s">
        <v>274</v>
      </c>
      <c r="AH135" t="s">
        <v>314</v>
      </c>
      <c r="AI135">
        <v>0</v>
      </c>
      <c r="AJ135">
        <v>1</v>
      </c>
      <c r="AK135">
        <v>0</v>
      </c>
      <c r="AL135">
        <v>0</v>
      </c>
      <c r="AM135">
        <v>1</v>
      </c>
      <c r="AN135">
        <v>10</v>
      </c>
      <c r="AO135">
        <v>441</v>
      </c>
      <c r="AP135">
        <v>0</v>
      </c>
      <c r="AQ135">
        <v>441</v>
      </c>
      <c r="AR135">
        <v>0</v>
      </c>
      <c r="AS135">
        <v>0</v>
      </c>
      <c r="AT135">
        <v>100</v>
      </c>
      <c r="AU135">
        <v>0</v>
      </c>
      <c r="AV135">
        <v>100</v>
      </c>
      <c r="AW135">
        <v>100</v>
      </c>
      <c r="AX135">
        <v>277828</v>
      </c>
      <c r="AY135">
        <v>216706</v>
      </c>
      <c r="AZ135">
        <v>875</v>
      </c>
      <c r="BA135">
        <v>365</v>
      </c>
      <c r="BB135">
        <v>365</v>
      </c>
      <c r="BC135">
        <v>145</v>
      </c>
      <c r="BD135" s="6">
        <v>44417</v>
      </c>
      <c r="BE135" t="s">
        <v>261</v>
      </c>
      <c r="BF135">
        <v>306000</v>
      </c>
      <c r="BG135">
        <v>306000</v>
      </c>
      <c r="BH135" t="s">
        <v>198</v>
      </c>
      <c r="BI135">
        <v>30</v>
      </c>
      <c r="BJ135" t="s">
        <v>51</v>
      </c>
      <c r="BK135" t="s">
        <v>314</v>
      </c>
      <c r="BL135">
        <v>284800</v>
      </c>
      <c r="BM135">
        <v>42700</v>
      </c>
      <c r="BN135">
        <v>242100</v>
      </c>
      <c r="BO135">
        <v>0</v>
      </c>
      <c r="BP135">
        <v>0.93071895424836604</v>
      </c>
      <c r="BQ135">
        <v>278846.28037953482</v>
      </c>
      <c r="BR135">
        <v>346592.61453751201</v>
      </c>
      <c r="BS135" s="7">
        <f>(BR135-BL135)/BL135</f>
        <v>0.21696844992103936</v>
      </c>
      <c r="BT135" s="14">
        <f>(Sales[[#This Row],[DP1]]*Lookups!$B$51)+(Sales[[#This Row],[DP2]]*Lookups!$B$52)+(Sales[[#This Row],[DP3]]*Lookups!$B$53)</f>
        <v>-67746.340710000004</v>
      </c>
      <c r="BU135" s="14">
        <f>Lookups!$B$48*0.5</f>
        <v>87214.824999999997</v>
      </c>
      <c r="BV135" s="14">
        <f>Lookups!$B$48*0.5</f>
        <v>87214.824999999997</v>
      </c>
      <c r="BW135" s="14">
        <f>Lookups!$B$49*Sales[[#This Row],[LnAcres]]</f>
        <v>-87761.591044208326</v>
      </c>
      <c r="BX135" s="14">
        <f>VLOOKUP(Sales[[#This Row],[Qlty]],Lookups!$A$54:$E$67,2,FALSE)</f>
        <v>-14329.694740000001</v>
      </c>
      <c r="BY135" s="14">
        <f>VLOOKUP(Sales[[#This Row],[Cnd]],Lookups!$A$68:$E$76,2,FALSE)</f>
        <v>0</v>
      </c>
      <c r="BZ135" s="14">
        <f>Sales[[#This Row],[Age]]*Lookups!$B$77</f>
        <v>10148.183649999999</v>
      </c>
      <c r="CA135" s="14">
        <f>Sales[[#This Row],[MainFn]]*Lookups!$B$78</f>
        <v>70879.628934000008</v>
      </c>
      <c r="CB135" s="14">
        <f>Sales[[#This Row],[UpprFn]]*Lookups!$B$79</f>
        <v>44052.606</v>
      </c>
      <c r="CC135" s="14">
        <f>Sales[[#This Row],[AddFn]]*Lookups!$B$80</f>
        <v>0</v>
      </c>
      <c r="CD135" s="14">
        <f>Sales[[#This Row],[Bsmt]]*Lookups!$B$81</f>
        <v>0</v>
      </c>
      <c r="CE135" s="14">
        <f>Sales[[#This Row],[Fixtures]]*Lookups!$B$84</f>
        <v>101551</v>
      </c>
      <c r="CF135" s="14">
        <f>Sales[[#This Row],[MsnryFP]]*Lookups!$B$82</f>
        <v>25273.623</v>
      </c>
      <c r="CG135" s="14">
        <f>Sales[[#This Row],[PrefabFP]]*Lookups!$B$83</f>
        <v>0</v>
      </c>
      <c r="CH135" s="14">
        <f>Sales[[#This Row],[GarageArea]]*Lookups!$B$85</f>
        <v>22349.217176999999</v>
      </c>
      <c r="CI135" s="14">
        <f>SUM(Sales[[#This Row],[Days Prior Total]:[Mdl GarageArea]])</f>
        <v>278846.28226679168</v>
      </c>
      <c r="CJ135" s="14">
        <f>ROUND(Sales[[#This Row],[25Det]],-2)</f>
        <v>0</v>
      </c>
      <c r="CK135" s="14">
        <f>ROUND(SUM(Sales[[#This Row],[Mdl Qlty]:[Mdl GarageArea]])+Sales[[#This Row],[Mdl Res Intercept]]+Sales[[#This Row],[Days Prior Total]],-2)</f>
        <v>279400</v>
      </c>
      <c r="CL135" s="14">
        <f>ROUND(Sales[[#This Row],[Mdl Land Intercept]]+Sales[[#This Row],[Mdl LnAcres]],-2)</f>
        <v>-500</v>
      </c>
      <c r="CM135" s="14">
        <f>Sales[[#This Row],[Unadj Res Value]]+Sales[[#This Row],[Unadj Det Value]]+Sales[[#This Row],[Unadj Land Value]]</f>
        <v>278900</v>
      </c>
      <c r="CN135" s="15">
        <f>Sales[[#This Row],[Unadj Total Value]]/Sales[[#This Row],[Price]]</f>
        <v>0.91143790849673201</v>
      </c>
      <c r="CO135" s="15">
        <f>(Sales[[#This Row],[Unadj Total Value]]-Sales[[#This Row],[24Final]])/Sales[[#This Row],[24Final]]</f>
        <v>-2.0716292134831459E-2</v>
      </c>
      <c r="CP135">
        <f>VLOOKUP(Sales[[#This Row],[TNbhd]],Lookups!$M$2:$P$4,4,FALSE)</f>
        <v>0.97570000000000001</v>
      </c>
      <c r="CQ135">
        <f>VLOOKUP(Sales[[#This Row],[Qlty]],Lookups!$M$6:$P$20,4,FALSE)</f>
        <v>0.98809999999999998</v>
      </c>
      <c r="CR135">
        <f>VLOOKUP(Sales[[#This Row],[Cnd]],Lookups!$R$6:$U$15,4,FALSE)</f>
        <v>0.9677</v>
      </c>
      <c r="CS135">
        <f>VLOOKUP(Sales[[#This Row],[LivArea Range]],Lookups!$R$23:$U$39,4,FALSE)</f>
        <v>0.99099999999999999</v>
      </c>
      <c r="CT135">
        <f>VLOOKUP(Sales[[#This Row],[Decade]],Lookups!$M$23:$P$35,4,FALSE)</f>
        <v>0.97289999999999999</v>
      </c>
      <c r="CU135">
        <f>Sales[[#This Row],[Nbhd Adj]]*0.95</f>
        <v>0.92691499999999993</v>
      </c>
      <c r="CV135">
        <f>Sales[[#This Row],[Nbhd Adj]]*Sales[[#This Row],[Quality Adj]]*Sales[[#This Row],[Condition Adj]]*Sales[[#This Row],[Living Area Adj]]*Sales[[#This Row],[Decade Adj]]*0.95</f>
        <v>0.85452231525240441</v>
      </c>
      <c r="CW135">
        <f>ROUND(SUM(Sales[[#This Row],[Mdl Qlty]:[Mdl GarageArea]])+Sales[[#This Row],[Mdl Res Intercept]]*Sales[[#This Row],[Res Adj ]],-2)</f>
        <v>334500</v>
      </c>
      <c r="CX135">
        <f>ROUND(Sales[[#This Row],[25Det]]*Sales[[#This Row],[Det/Nbhd Adj]],-2)</f>
        <v>0</v>
      </c>
      <c r="CY135">
        <f>Sales[[#This Row],[Adjusted Res]]+Sales[[#This Row],[Adj Det ]]</f>
        <v>334500</v>
      </c>
      <c r="CZ135">
        <f>ROUND((Sales[[#This Row],[Mdl Land Intercept]]+Sales[[#This Row],[Mdl LnAcres]])*Sales[[#This Row],[Det/Nbhd Adj]],-2)</f>
        <v>-500</v>
      </c>
      <c r="DA135">
        <f>Sales[[#This Row],[Adjusted Impr Total]]+Sales[[#This Row],[Adjusted Land Total]]</f>
        <v>334000</v>
      </c>
      <c r="DB135">
        <f>IFERROR((Sales[[#This Row],[Adjusted Impr Total]]-Sales[[#This Row],[24Bldg]])/Sales[[#This Row],[24Bldg]],0)</f>
        <v>0.38166047087980176</v>
      </c>
      <c r="DC135">
        <f>(Sales[[#This Row],[Adjusted Land Total]]-Sales[[#This Row],[24Lnd]])/Sales[[#This Row],[24Lnd]]</f>
        <v>-1.0117096018735363</v>
      </c>
      <c r="DD135">
        <f>(Sales[[#This Row],[Adjusted Total]]-Sales[[#This Row],[24Final]])/Sales[[#This Row],[24Final]]</f>
        <v>0.17275280898876405</v>
      </c>
      <c r="DE135">
        <f>(Sales[[#This Row],[Adjusted Total]]+Sales[[#This Row],[Days Prior Total]])/Sales[[#This Row],[Price]]</f>
        <v>0.87010999767973851</v>
      </c>
    </row>
    <row r="136" spans="1:109" x14ac:dyDescent="0.3">
      <c r="A136">
        <v>2025</v>
      </c>
      <c r="B136">
        <v>18131644452</v>
      </c>
      <c r="C136">
        <v>-3.2188758248682006</v>
      </c>
      <c r="D136">
        <v>0.04</v>
      </c>
      <c r="E136">
        <v>2211</v>
      </c>
      <c r="F136">
        <v>5</v>
      </c>
      <c r="G136" t="s">
        <v>25</v>
      </c>
      <c r="H136">
        <v>3042</v>
      </c>
      <c r="I136" t="s">
        <v>302</v>
      </c>
      <c r="J136" t="s">
        <v>26</v>
      </c>
      <c r="K136">
        <v>11</v>
      </c>
      <c r="L136">
        <v>262</v>
      </c>
      <c r="M136" t="s">
        <v>273</v>
      </c>
      <c r="N136" t="s">
        <v>111</v>
      </c>
      <c r="O136" t="s">
        <v>207</v>
      </c>
      <c r="P136">
        <v>1969</v>
      </c>
      <c r="Q136">
        <v>1987</v>
      </c>
      <c r="R136">
        <v>60</v>
      </c>
      <c r="S136">
        <v>55</v>
      </c>
      <c r="T136">
        <v>37</v>
      </c>
      <c r="U136">
        <v>1</v>
      </c>
      <c r="V136">
        <v>1728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1728</v>
      </c>
      <c r="AC136">
        <v>2000</v>
      </c>
      <c r="AD136">
        <v>2</v>
      </c>
      <c r="AE136" t="s">
        <v>5</v>
      </c>
      <c r="AF136" t="s">
        <v>275</v>
      </c>
      <c r="AG136" t="s">
        <v>274</v>
      </c>
      <c r="AH136" t="s">
        <v>314</v>
      </c>
      <c r="AI136">
        <v>0</v>
      </c>
      <c r="AJ136">
        <v>1</v>
      </c>
      <c r="AK136">
        <v>0</v>
      </c>
      <c r="AL136">
        <v>1</v>
      </c>
      <c r="AM136">
        <v>0</v>
      </c>
      <c r="AN136">
        <v>8</v>
      </c>
      <c r="AO136">
        <v>483</v>
      </c>
      <c r="AP136">
        <v>0</v>
      </c>
      <c r="AQ136">
        <v>483</v>
      </c>
      <c r="AR136">
        <v>0</v>
      </c>
      <c r="AS136">
        <v>0</v>
      </c>
      <c r="AT136">
        <v>120</v>
      </c>
      <c r="AU136">
        <v>0</v>
      </c>
      <c r="AV136">
        <v>100</v>
      </c>
      <c r="AW136">
        <v>100</v>
      </c>
      <c r="AX136">
        <v>300687</v>
      </c>
      <c r="AY136">
        <v>252577</v>
      </c>
      <c r="AZ136">
        <v>472</v>
      </c>
      <c r="BA136">
        <v>365</v>
      </c>
      <c r="BB136">
        <v>107</v>
      </c>
      <c r="BC136">
        <v>0</v>
      </c>
      <c r="BD136" s="6">
        <v>44820</v>
      </c>
      <c r="BE136" t="s">
        <v>191</v>
      </c>
      <c r="BF136">
        <v>335000</v>
      </c>
      <c r="BG136">
        <v>335000</v>
      </c>
      <c r="BH136" t="s">
        <v>198</v>
      </c>
      <c r="BI136">
        <v>30</v>
      </c>
      <c r="BJ136" t="s">
        <v>51</v>
      </c>
      <c r="BK136" t="s">
        <v>314</v>
      </c>
      <c r="BL136">
        <v>347900</v>
      </c>
      <c r="BM136">
        <v>52200</v>
      </c>
      <c r="BN136">
        <v>295700</v>
      </c>
      <c r="BO136">
        <v>0</v>
      </c>
      <c r="BP136">
        <v>1.0385074626865671</v>
      </c>
      <c r="BQ136">
        <v>339780.20432987239</v>
      </c>
      <c r="BR136">
        <v>387328.8543197026</v>
      </c>
      <c r="BS136" s="7">
        <f>(BR136-BL136)/BL136</f>
        <v>0.11333387272119172</v>
      </c>
      <c r="BT136" s="14">
        <f>(Sales[[#This Row],[DP1]]*Lookups!$B$51)+(Sales[[#This Row],[DP2]]*Lookups!$B$52)+(Sales[[#This Row],[DP3]]*Lookups!$B$53)</f>
        <v>-47548.663578000007</v>
      </c>
      <c r="BU136" s="14">
        <f>Lookups!$B$48*0.5</f>
        <v>87214.824999999997</v>
      </c>
      <c r="BV136" s="14">
        <f>Lookups!$B$48*0.5</f>
        <v>87214.824999999997</v>
      </c>
      <c r="BW136" s="14">
        <f>Lookups!$B$49*Sales[[#This Row],[LnAcres]]</f>
        <v>-80561.528437924295</v>
      </c>
      <c r="BX136" s="14">
        <f>VLOOKUP(Sales[[#This Row],[Qlty]],Lookups!$A$54:$E$67,2,FALSE)</f>
        <v>-14329.694740000001</v>
      </c>
      <c r="BY136" s="14">
        <f>VLOOKUP(Sales[[#This Row],[Cnd]],Lookups!$A$68:$E$76,2,FALSE)</f>
        <v>47273.897095</v>
      </c>
      <c r="BZ136" s="14">
        <f>Sales[[#This Row],[Age]]*Lookups!$B$77</f>
        <v>10148.183649999999</v>
      </c>
      <c r="CA136" s="14">
        <f>Sales[[#This Row],[MainFn]]*Lookups!$B$78</f>
        <v>119376.21715200001</v>
      </c>
      <c r="CB136" s="14">
        <f>Sales[[#This Row],[UpprFn]]*Lookups!$B$79</f>
        <v>0</v>
      </c>
      <c r="CC136" s="14">
        <f>Sales[[#This Row],[AddFn]]*Lookups!$B$80</f>
        <v>0</v>
      </c>
      <c r="CD136" s="14">
        <f>Sales[[#This Row],[Bsmt]]*Lookups!$B$81</f>
        <v>0</v>
      </c>
      <c r="CE136" s="14">
        <f>Sales[[#This Row],[Fixtures]]*Lookups!$B$84</f>
        <v>81240.800000000003</v>
      </c>
      <c r="CF136" s="14">
        <f>Sales[[#This Row],[MsnryFP]]*Lookups!$B$82</f>
        <v>25273.623</v>
      </c>
      <c r="CG136" s="14">
        <f>Sales[[#This Row],[PrefabFP]]*Lookups!$B$83</f>
        <v>0</v>
      </c>
      <c r="CH136" s="14">
        <f>Sales[[#This Row],[GarageArea]]*Lookups!$B$85</f>
        <v>24477.714050999999</v>
      </c>
      <c r="CI136" s="14">
        <f>SUM(Sales[[#This Row],[Days Prior Total]:[Mdl GarageArea]])</f>
        <v>339780.19819207571</v>
      </c>
      <c r="CJ136" s="14">
        <f>ROUND(Sales[[#This Row],[25Det]],-2)</f>
        <v>0</v>
      </c>
      <c r="CK136" s="14">
        <f>ROUND(SUM(Sales[[#This Row],[Mdl Qlty]:[Mdl GarageArea]])+Sales[[#This Row],[Mdl Res Intercept]]+Sales[[#This Row],[Days Prior Total]],-2)</f>
        <v>333100</v>
      </c>
      <c r="CL136" s="14">
        <f>ROUND(Sales[[#This Row],[Mdl Land Intercept]]+Sales[[#This Row],[Mdl LnAcres]],-2)</f>
        <v>6700</v>
      </c>
      <c r="CM136" s="14">
        <f>Sales[[#This Row],[Unadj Res Value]]+Sales[[#This Row],[Unadj Det Value]]+Sales[[#This Row],[Unadj Land Value]]</f>
        <v>339800</v>
      </c>
      <c r="CN136" s="15">
        <f>Sales[[#This Row],[Unadj Total Value]]/Sales[[#This Row],[Price]]</f>
        <v>1.0143283582089553</v>
      </c>
      <c r="CO136" s="15">
        <f>(Sales[[#This Row],[Unadj Total Value]]-Sales[[#This Row],[24Final]])/Sales[[#This Row],[24Final]]</f>
        <v>-2.3282552457602759E-2</v>
      </c>
      <c r="CP136">
        <f>VLOOKUP(Sales[[#This Row],[TNbhd]],Lookups!$M$2:$P$4,4,FALSE)</f>
        <v>0.97570000000000001</v>
      </c>
      <c r="CQ136">
        <f>VLOOKUP(Sales[[#This Row],[Qlty]],Lookups!$M$6:$P$20,4,FALSE)</f>
        <v>0.98809999999999998</v>
      </c>
      <c r="CR136">
        <f>VLOOKUP(Sales[[#This Row],[Cnd]],Lookups!$R$6:$U$15,4,FALSE)</f>
        <v>0.97829999999999995</v>
      </c>
      <c r="CS136">
        <f>VLOOKUP(Sales[[#This Row],[LivArea Range]],Lookups!$R$23:$U$39,4,FALSE)</f>
        <v>0.99099999999999999</v>
      </c>
      <c r="CT136">
        <f>VLOOKUP(Sales[[#This Row],[Decade]],Lookups!$M$23:$P$35,4,FALSE)</f>
        <v>0.97289999999999999</v>
      </c>
      <c r="CU136">
        <f>Sales[[#This Row],[Nbhd Adj]]*0.95</f>
        <v>0.92691499999999993</v>
      </c>
      <c r="CV136">
        <f>Sales[[#This Row],[Nbhd Adj]]*Sales[[#This Row],[Quality Adj]]*Sales[[#This Row],[Condition Adj]]*Sales[[#This Row],[Living Area Adj]]*Sales[[#This Row],[Decade Adj]]*0.95</f>
        <v>0.86388258862398182</v>
      </c>
      <c r="CW136">
        <f>ROUND(SUM(Sales[[#This Row],[Mdl Qlty]:[Mdl GarageArea]])+Sales[[#This Row],[Mdl Res Intercept]]*Sales[[#This Row],[Res Adj ]],-2)</f>
        <v>368800</v>
      </c>
      <c r="CX136">
        <f>ROUND(Sales[[#This Row],[25Det]]*Sales[[#This Row],[Det/Nbhd Adj]],-2)</f>
        <v>0</v>
      </c>
      <c r="CY136">
        <f>Sales[[#This Row],[Adjusted Res]]+Sales[[#This Row],[Adj Det ]]</f>
        <v>368800</v>
      </c>
      <c r="CZ136">
        <f>ROUND((Sales[[#This Row],[Mdl Land Intercept]]+Sales[[#This Row],[Mdl LnAcres]])*Sales[[#This Row],[Det/Nbhd Adj]],-2)</f>
        <v>6200</v>
      </c>
      <c r="DA136">
        <f>Sales[[#This Row],[Adjusted Impr Total]]+Sales[[#This Row],[Adjusted Land Total]]</f>
        <v>375000</v>
      </c>
      <c r="DB136">
        <f>IFERROR((Sales[[#This Row],[Adjusted Impr Total]]-Sales[[#This Row],[24Bldg]])/Sales[[#This Row],[24Bldg]],0)</f>
        <v>0.24721001014541766</v>
      </c>
      <c r="DC136">
        <f>(Sales[[#This Row],[Adjusted Land Total]]-Sales[[#This Row],[24Lnd]])/Sales[[#This Row],[24Lnd]]</f>
        <v>-0.88122605363984674</v>
      </c>
      <c r="DD136">
        <f>(Sales[[#This Row],[Adjusted Total]]-Sales[[#This Row],[24Final]])/Sales[[#This Row],[24Final]]</f>
        <v>7.7895947111238859E-2</v>
      </c>
      <c r="DE136">
        <f>(Sales[[#This Row],[Adjusted Total]]+Sales[[#This Row],[Days Prior Total]])/Sales[[#This Row],[Price]]</f>
        <v>0.9774666758865671</v>
      </c>
    </row>
    <row r="137" spans="1:109" x14ac:dyDescent="0.3">
      <c r="A137">
        <v>2025</v>
      </c>
      <c r="B137">
        <v>18131644455</v>
      </c>
      <c r="C137">
        <v>-2.9957322735539909</v>
      </c>
      <c r="D137">
        <v>0.05</v>
      </c>
      <c r="E137">
        <v>2211</v>
      </c>
      <c r="F137">
        <v>5</v>
      </c>
      <c r="G137" t="s">
        <v>25</v>
      </c>
      <c r="H137">
        <v>3042</v>
      </c>
      <c r="I137" t="s">
        <v>302</v>
      </c>
      <c r="J137" t="s">
        <v>26</v>
      </c>
      <c r="K137">
        <v>11</v>
      </c>
      <c r="L137">
        <v>262</v>
      </c>
      <c r="M137" t="s">
        <v>273</v>
      </c>
      <c r="N137" t="s">
        <v>111</v>
      </c>
      <c r="O137" t="s">
        <v>207</v>
      </c>
      <c r="P137">
        <v>1969</v>
      </c>
      <c r="Q137">
        <v>1977</v>
      </c>
      <c r="R137">
        <v>60</v>
      </c>
      <c r="S137">
        <v>55</v>
      </c>
      <c r="T137">
        <v>47</v>
      </c>
      <c r="U137">
        <v>1</v>
      </c>
      <c r="V137">
        <v>1728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1728</v>
      </c>
      <c r="AC137">
        <v>2000</v>
      </c>
      <c r="AD137">
        <v>2</v>
      </c>
      <c r="AF137" t="s">
        <v>275</v>
      </c>
      <c r="AG137" t="s">
        <v>274</v>
      </c>
      <c r="AH137" t="s">
        <v>314</v>
      </c>
      <c r="AI137">
        <v>0</v>
      </c>
      <c r="AJ137">
        <v>1</v>
      </c>
      <c r="AK137">
        <v>0</v>
      </c>
      <c r="AL137">
        <v>1</v>
      </c>
      <c r="AM137">
        <v>0</v>
      </c>
      <c r="AN137">
        <v>8</v>
      </c>
      <c r="AO137">
        <v>483</v>
      </c>
      <c r="AP137">
        <v>0</v>
      </c>
      <c r="AQ137">
        <v>483</v>
      </c>
      <c r="AR137">
        <v>0</v>
      </c>
      <c r="AS137">
        <v>0</v>
      </c>
      <c r="AT137">
        <v>120</v>
      </c>
      <c r="AU137">
        <v>0</v>
      </c>
      <c r="AV137">
        <v>100</v>
      </c>
      <c r="AW137">
        <v>100</v>
      </c>
      <c r="AX137">
        <v>316650</v>
      </c>
      <c r="AY137">
        <v>262820</v>
      </c>
      <c r="AZ137">
        <v>693</v>
      </c>
      <c r="BA137">
        <v>365</v>
      </c>
      <c r="BB137">
        <v>328</v>
      </c>
      <c r="BC137">
        <v>0</v>
      </c>
      <c r="BD137" s="6">
        <v>44599</v>
      </c>
      <c r="BE137" t="s">
        <v>283</v>
      </c>
      <c r="BF137">
        <v>330000</v>
      </c>
      <c r="BG137">
        <v>330000</v>
      </c>
      <c r="BH137" t="s">
        <v>198</v>
      </c>
      <c r="BI137">
        <v>30</v>
      </c>
      <c r="BJ137" t="s">
        <v>51</v>
      </c>
      <c r="BK137" t="s">
        <v>314</v>
      </c>
      <c r="BL137">
        <v>334800</v>
      </c>
      <c r="BM137">
        <v>50200</v>
      </c>
      <c r="BN137">
        <v>284600</v>
      </c>
      <c r="BO137">
        <v>0</v>
      </c>
      <c r="BP137">
        <v>1.0145454545454546</v>
      </c>
      <c r="BQ137">
        <v>366391.9514724848</v>
      </c>
      <c r="BR137">
        <v>392913.65683388547</v>
      </c>
      <c r="BS137" s="7">
        <f>(BR137-BL137)/BL137</f>
        <v>0.17357723068663522</v>
      </c>
      <c r="BT137" s="14">
        <f>(Sales[[#This Row],[DP1]]*Lookups!$B$51)+(Sales[[#This Row],[DP2]]*Lookups!$B$52)+(Sales[[#This Row],[DP3]]*Lookups!$B$53)</f>
        <v>-26521.718912000004</v>
      </c>
      <c r="BU137" s="14">
        <f>Lookups!$B$48*0.5</f>
        <v>87214.824999999997</v>
      </c>
      <c r="BV137" s="14">
        <f>Lookups!$B$48*0.5</f>
        <v>87214.824999999997</v>
      </c>
      <c r="BW137" s="14">
        <f>Lookups!$B$49*Sales[[#This Row],[LnAcres]]</f>
        <v>-74976.725999739167</v>
      </c>
      <c r="BX137" s="14">
        <f>VLOOKUP(Sales[[#This Row],[Qlty]],Lookups!$A$54:$E$67,2,FALSE)</f>
        <v>-14329.694740000001</v>
      </c>
      <c r="BY137" s="14">
        <f>VLOOKUP(Sales[[#This Row],[Cnd]],Lookups!$A$68:$E$76,2,FALSE)</f>
        <v>47273.897095</v>
      </c>
      <c r="BZ137" s="14">
        <f>Sales[[#This Row],[Age]]*Lookups!$B$77</f>
        <v>10148.183649999999</v>
      </c>
      <c r="CA137" s="14">
        <f>Sales[[#This Row],[MainFn]]*Lookups!$B$78</f>
        <v>119376.21715200001</v>
      </c>
      <c r="CB137" s="14">
        <f>Sales[[#This Row],[UpprFn]]*Lookups!$B$79</f>
        <v>0</v>
      </c>
      <c r="CC137" s="14">
        <f>Sales[[#This Row],[AddFn]]*Lookups!$B$80</f>
        <v>0</v>
      </c>
      <c r="CD137" s="14">
        <f>Sales[[#This Row],[Bsmt]]*Lookups!$B$81</f>
        <v>0</v>
      </c>
      <c r="CE137" s="14">
        <f>Sales[[#This Row],[Fixtures]]*Lookups!$B$84</f>
        <v>81240.800000000003</v>
      </c>
      <c r="CF137" s="14">
        <f>Sales[[#This Row],[MsnryFP]]*Lookups!$B$82</f>
        <v>25273.623</v>
      </c>
      <c r="CG137" s="14">
        <f>Sales[[#This Row],[PrefabFP]]*Lookups!$B$83</f>
        <v>0</v>
      </c>
      <c r="CH137" s="14">
        <f>Sales[[#This Row],[GarageArea]]*Lookups!$B$85</f>
        <v>24477.714050999999</v>
      </c>
      <c r="CI137" s="14">
        <f>SUM(Sales[[#This Row],[Days Prior Total]:[Mdl GarageArea]])</f>
        <v>366391.94529626088</v>
      </c>
      <c r="CJ137" s="14">
        <f>ROUND(Sales[[#This Row],[25Det]],-2)</f>
        <v>0</v>
      </c>
      <c r="CK137" s="14">
        <f>ROUND(SUM(Sales[[#This Row],[Mdl Qlty]:[Mdl GarageArea]])+Sales[[#This Row],[Mdl Res Intercept]]+Sales[[#This Row],[Days Prior Total]],-2)</f>
        <v>354200</v>
      </c>
      <c r="CL137" s="14">
        <f>ROUND(Sales[[#This Row],[Mdl Land Intercept]]+Sales[[#This Row],[Mdl LnAcres]],-2)</f>
        <v>12200</v>
      </c>
      <c r="CM137" s="14">
        <f>Sales[[#This Row],[Unadj Res Value]]+Sales[[#This Row],[Unadj Det Value]]+Sales[[#This Row],[Unadj Land Value]]</f>
        <v>366400</v>
      </c>
      <c r="CN137" s="15">
        <f>Sales[[#This Row],[Unadj Total Value]]/Sales[[#This Row],[Price]]</f>
        <v>1.1103030303030303</v>
      </c>
      <c r="CO137" s="15">
        <f>(Sales[[#This Row],[Unadj Total Value]]-Sales[[#This Row],[24Final]])/Sales[[#This Row],[24Final]]</f>
        <v>9.4384707287933092E-2</v>
      </c>
      <c r="CP137">
        <f>VLOOKUP(Sales[[#This Row],[TNbhd]],Lookups!$M$2:$P$4,4,FALSE)</f>
        <v>0.97570000000000001</v>
      </c>
      <c r="CQ137">
        <f>VLOOKUP(Sales[[#This Row],[Qlty]],Lookups!$M$6:$P$20,4,FALSE)</f>
        <v>0.98809999999999998</v>
      </c>
      <c r="CR137">
        <f>VLOOKUP(Sales[[#This Row],[Cnd]],Lookups!$R$6:$U$15,4,FALSE)</f>
        <v>0.97829999999999995</v>
      </c>
      <c r="CS137">
        <f>VLOOKUP(Sales[[#This Row],[LivArea Range]],Lookups!$R$23:$U$39,4,FALSE)</f>
        <v>0.99099999999999999</v>
      </c>
      <c r="CT137">
        <f>VLOOKUP(Sales[[#This Row],[Decade]],Lookups!$M$23:$P$35,4,FALSE)</f>
        <v>0.97289999999999999</v>
      </c>
      <c r="CU137">
        <f>Sales[[#This Row],[Nbhd Adj]]*0.95</f>
        <v>0.92691499999999993</v>
      </c>
      <c r="CV137">
        <f>Sales[[#This Row],[Nbhd Adj]]*Sales[[#This Row],[Quality Adj]]*Sales[[#This Row],[Condition Adj]]*Sales[[#This Row],[Living Area Adj]]*Sales[[#This Row],[Decade Adj]]*0.95</f>
        <v>0.86388258862398182</v>
      </c>
      <c r="CW137">
        <f>ROUND(SUM(Sales[[#This Row],[Mdl Qlty]:[Mdl GarageArea]])+Sales[[#This Row],[Mdl Res Intercept]]*Sales[[#This Row],[Res Adj ]],-2)</f>
        <v>368800</v>
      </c>
      <c r="CX137">
        <f>ROUND(Sales[[#This Row],[25Det]]*Sales[[#This Row],[Det/Nbhd Adj]],-2)</f>
        <v>0</v>
      </c>
      <c r="CY137">
        <f>Sales[[#This Row],[Adjusted Res]]+Sales[[#This Row],[Adj Det ]]</f>
        <v>368800</v>
      </c>
      <c r="CZ137">
        <f>ROUND((Sales[[#This Row],[Mdl Land Intercept]]+Sales[[#This Row],[Mdl LnAcres]])*Sales[[#This Row],[Det/Nbhd Adj]],-2)</f>
        <v>11300</v>
      </c>
      <c r="DA137">
        <f>Sales[[#This Row],[Adjusted Impr Total]]+Sales[[#This Row],[Adjusted Land Total]]</f>
        <v>380100</v>
      </c>
      <c r="DB137">
        <f>IFERROR((Sales[[#This Row],[Adjusted Impr Total]]-Sales[[#This Row],[24Bldg]])/Sales[[#This Row],[24Bldg]],0)</f>
        <v>0.29585382993675335</v>
      </c>
      <c r="DC137">
        <f>(Sales[[#This Row],[Adjusted Land Total]]-Sales[[#This Row],[24Lnd]])/Sales[[#This Row],[24Lnd]]</f>
        <v>-0.77490039840637448</v>
      </c>
      <c r="DD137">
        <f>(Sales[[#This Row],[Adjusted Total]]-Sales[[#This Row],[24Final]])/Sales[[#This Row],[24Final]]</f>
        <v>0.13530465949820789</v>
      </c>
      <c r="DE137">
        <f>(Sales[[#This Row],[Adjusted Total]]+Sales[[#This Row],[Days Prior Total]])/Sales[[#This Row],[Price]]</f>
        <v>1.0714493366303031</v>
      </c>
    </row>
    <row r="138" spans="1:109" x14ac:dyDescent="0.3">
      <c r="A138">
        <v>2025</v>
      </c>
      <c r="B138">
        <v>18131644455</v>
      </c>
      <c r="C138">
        <v>-2.9957322735539909</v>
      </c>
      <c r="D138">
        <v>0.05</v>
      </c>
      <c r="E138">
        <v>2211</v>
      </c>
      <c r="F138">
        <v>5</v>
      </c>
      <c r="G138" t="s">
        <v>25</v>
      </c>
      <c r="H138">
        <v>3042</v>
      </c>
      <c r="I138" t="s">
        <v>302</v>
      </c>
      <c r="J138" t="s">
        <v>26</v>
      </c>
      <c r="K138">
        <v>11</v>
      </c>
      <c r="L138">
        <v>262</v>
      </c>
      <c r="M138" t="s">
        <v>273</v>
      </c>
      <c r="N138" t="s">
        <v>111</v>
      </c>
      <c r="O138" t="s">
        <v>207</v>
      </c>
      <c r="P138">
        <v>1969</v>
      </c>
      <c r="Q138">
        <v>1977</v>
      </c>
      <c r="R138">
        <v>60</v>
      </c>
      <c r="S138">
        <v>55</v>
      </c>
      <c r="T138">
        <v>47</v>
      </c>
      <c r="U138">
        <v>1</v>
      </c>
      <c r="V138">
        <v>1728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1728</v>
      </c>
      <c r="AC138">
        <v>2000</v>
      </c>
      <c r="AD138">
        <v>2</v>
      </c>
      <c r="AF138" t="s">
        <v>275</v>
      </c>
      <c r="AG138" t="s">
        <v>274</v>
      </c>
      <c r="AH138" t="s">
        <v>314</v>
      </c>
      <c r="AI138">
        <v>0</v>
      </c>
      <c r="AJ138">
        <v>1</v>
      </c>
      <c r="AK138">
        <v>0</v>
      </c>
      <c r="AL138">
        <v>0</v>
      </c>
      <c r="AM138">
        <v>0</v>
      </c>
      <c r="AN138">
        <v>10</v>
      </c>
      <c r="AO138">
        <v>483</v>
      </c>
      <c r="AP138">
        <v>0</v>
      </c>
      <c r="AQ138">
        <v>483</v>
      </c>
      <c r="AR138">
        <v>0</v>
      </c>
      <c r="AS138">
        <v>0</v>
      </c>
      <c r="AT138">
        <v>120</v>
      </c>
      <c r="AU138">
        <v>0</v>
      </c>
      <c r="AV138">
        <v>100</v>
      </c>
      <c r="AW138">
        <v>100</v>
      </c>
      <c r="AX138">
        <v>307777</v>
      </c>
      <c r="AY138">
        <v>258533</v>
      </c>
      <c r="AZ138">
        <v>1015</v>
      </c>
      <c r="BA138">
        <v>365</v>
      </c>
      <c r="BB138">
        <v>365</v>
      </c>
      <c r="BC138">
        <v>285</v>
      </c>
      <c r="BD138" s="6">
        <v>44277</v>
      </c>
      <c r="BE138" t="s">
        <v>305</v>
      </c>
      <c r="BF138">
        <v>311000</v>
      </c>
      <c r="BG138">
        <v>311000</v>
      </c>
      <c r="BH138" t="s">
        <v>198</v>
      </c>
      <c r="BI138">
        <v>30</v>
      </c>
      <c r="BJ138" t="s">
        <v>51</v>
      </c>
      <c r="BK138" t="s">
        <v>314</v>
      </c>
      <c r="BL138">
        <v>334800</v>
      </c>
      <c r="BM138">
        <v>50200</v>
      </c>
      <c r="BN138">
        <v>284600</v>
      </c>
      <c r="BO138">
        <v>0</v>
      </c>
      <c r="BP138">
        <v>1.0765273311897106</v>
      </c>
      <c r="BQ138">
        <v>302275.47498325608</v>
      </c>
      <c r="BR138">
        <v>413223.85589240631</v>
      </c>
      <c r="BS138" s="7">
        <f>(BR138-BL138)/BL138</f>
        <v>0.23424090768341191</v>
      </c>
      <c r="BT138" s="14">
        <f>(Sales[[#This Row],[DP1]]*Lookups!$B$51)+(Sales[[#This Row],[DP2]]*Lookups!$B$52)+(Sales[[#This Row],[DP3]]*Lookups!$B$53)</f>
        <v>-110948.38071000001</v>
      </c>
      <c r="BU138" s="14">
        <f>Lookups!$B$48*0.5</f>
        <v>87214.824999999997</v>
      </c>
      <c r="BV138" s="14">
        <f>Lookups!$B$48*0.5</f>
        <v>87214.824999999997</v>
      </c>
      <c r="BW138" s="14">
        <f>Lookups!$B$49*Sales[[#This Row],[LnAcres]]</f>
        <v>-74976.725999739167</v>
      </c>
      <c r="BX138" s="14">
        <f>VLOOKUP(Sales[[#This Row],[Qlty]],Lookups!$A$54:$E$67,2,FALSE)</f>
        <v>-14329.694740000001</v>
      </c>
      <c r="BY138" s="14">
        <f>VLOOKUP(Sales[[#This Row],[Cnd]],Lookups!$A$68:$E$76,2,FALSE)</f>
        <v>47273.897095</v>
      </c>
      <c r="BZ138" s="14">
        <f>Sales[[#This Row],[Age]]*Lookups!$B$77</f>
        <v>10148.183649999999</v>
      </c>
      <c r="CA138" s="14">
        <f>Sales[[#This Row],[MainFn]]*Lookups!$B$78</f>
        <v>119376.21715200001</v>
      </c>
      <c r="CB138" s="14">
        <f>Sales[[#This Row],[UpprFn]]*Lookups!$B$79</f>
        <v>0</v>
      </c>
      <c r="CC138" s="14">
        <f>Sales[[#This Row],[AddFn]]*Lookups!$B$80</f>
        <v>0</v>
      </c>
      <c r="CD138" s="14">
        <f>Sales[[#This Row],[Bsmt]]*Lookups!$B$81</f>
        <v>0</v>
      </c>
      <c r="CE138" s="14">
        <f>Sales[[#This Row],[Fixtures]]*Lookups!$B$84</f>
        <v>101551</v>
      </c>
      <c r="CF138" s="14">
        <f>Sales[[#This Row],[MsnryFP]]*Lookups!$B$82</f>
        <v>25273.623</v>
      </c>
      <c r="CG138" s="14">
        <f>Sales[[#This Row],[PrefabFP]]*Lookups!$B$83</f>
        <v>0</v>
      </c>
      <c r="CH138" s="14">
        <f>Sales[[#This Row],[GarageArea]]*Lookups!$B$85</f>
        <v>24477.714050999999</v>
      </c>
      <c r="CI138" s="14">
        <f>SUM(Sales[[#This Row],[Days Prior Total]:[Mdl GarageArea]])</f>
        <v>302275.48349826084</v>
      </c>
      <c r="CJ138" s="14">
        <f>ROUND(Sales[[#This Row],[25Det]],-2)</f>
        <v>0</v>
      </c>
      <c r="CK138" s="14">
        <f>ROUND(SUM(Sales[[#This Row],[Mdl Qlty]:[Mdl GarageArea]])+Sales[[#This Row],[Mdl Res Intercept]]+Sales[[#This Row],[Days Prior Total]],-2)</f>
        <v>290000</v>
      </c>
      <c r="CL138" s="14">
        <f>ROUND(Sales[[#This Row],[Mdl Land Intercept]]+Sales[[#This Row],[Mdl LnAcres]],-2)</f>
        <v>12200</v>
      </c>
      <c r="CM138" s="14">
        <f>Sales[[#This Row],[Unadj Res Value]]+Sales[[#This Row],[Unadj Det Value]]+Sales[[#This Row],[Unadj Land Value]]</f>
        <v>302200</v>
      </c>
      <c r="CN138" s="15">
        <f>Sales[[#This Row],[Unadj Total Value]]/Sales[[#This Row],[Price]]</f>
        <v>0.9717041800643087</v>
      </c>
      <c r="CO138" s="15">
        <f>(Sales[[#This Row],[Unadj Total Value]]-Sales[[#This Row],[24Final]])/Sales[[#This Row],[24Final]]</f>
        <v>-9.7371565113500591E-2</v>
      </c>
      <c r="CP138">
        <f>VLOOKUP(Sales[[#This Row],[TNbhd]],Lookups!$M$2:$P$4,4,FALSE)</f>
        <v>0.97570000000000001</v>
      </c>
      <c r="CQ138">
        <f>VLOOKUP(Sales[[#This Row],[Qlty]],Lookups!$M$6:$P$20,4,FALSE)</f>
        <v>0.98809999999999998</v>
      </c>
      <c r="CR138">
        <f>VLOOKUP(Sales[[#This Row],[Cnd]],Lookups!$R$6:$U$15,4,FALSE)</f>
        <v>0.97829999999999995</v>
      </c>
      <c r="CS138">
        <f>VLOOKUP(Sales[[#This Row],[LivArea Range]],Lookups!$R$23:$U$39,4,FALSE)</f>
        <v>0.99099999999999999</v>
      </c>
      <c r="CT138">
        <f>VLOOKUP(Sales[[#This Row],[Decade]],Lookups!$M$23:$P$35,4,FALSE)</f>
        <v>0.97289999999999999</v>
      </c>
      <c r="CU138">
        <f>Sales[[#This Row],[Nbhd Adj]]*0.95</f>
        <v>0.92691499999999993</v>
      </c>
      <c r="CV138">
        <f>Sales[[#This Row],[Nbhd Adj]]*Sales[[#This Row],[Quality Adj]]*Sales[[#This Row],[Condition Adj]]*Sales[[#This Row],[Living Area Adj]]*Sales[[#This Row],[Decade Adj]]*0.95</f>
        <v>0.86388258862398182</v>
      </c>
      <c r="CW138">
        <f>ROUND(SUM(Sales[[#This Row],[Mdl Qlty]:[Mdl GarageArea]])+Sales[[#This Row],[Mdl Res Intercept]]*Sales[[#This Row],[Res Adj ]],-2)</f>
        <v>389100</v>
      </c>
      <c r="CX138">
        <f>ROUND(Sales[[#This Row],[25Det]]*Sales[[#This Row],[Det/Nbhd Adj]],-2)</f>
        <v>0</v>
      </c>
      <c r="CY138">
        <f>Sales[[#This Row],[Adjusted Res]]+Sales[[#This Row],[Adj Det ]]</f>
        <v>389100</v>
      </c>
      <c r="CZ138">
        <f>ROUND((Sales[[#This Row],[Mdl Land Intercept]]+Sales[[#This Row],[Mdl LnAcres]])*Sales[[#This Row],[Det/Nbhd Adj]],-2)</f>
        <v>11300</v>
      </c>
      <c r="DA138">
        <f>Sales[[#This Row],[Adjusted Impr Total]]+Sales[[#This Row],[Adjusted Land Total]]</f>
        <v>400400</v>
      </c>
      <c r="DB138">
        <f>IFERROR((Sales[[#This Row],[Adjusted Impr Total]]-Sales[[#This Row],[24Bldg]])/Sales[[#This Row],[24Bldg]],0)</f>
        <v>0.36718200983836963</v>
      </c>
      <c r="DC138">
        <f>(Sales[[#This Row],[Adjusted Land Total]]-Sales[[#This Row],[24Lnd]])/Sales[[#This Row],[24Lnd]]</f>
        <v>-0.77490039840637448</v>
      </c>
      <c r="DD138">
        <f>(Sales[[#This Row],[Adjusted Total]]-Sales[[#This Row],[24Final]])/Sales[[#This Row],[24Final]]</f>
        <v>0.1959378733572282</v>
      </c>
      <c r="DE138">
        <f>(Sales[[#This Row],[Adjusted Total]]+Sales[[#This Row],[Days Prior Total]])/Sales[[#This Row],[Price]]</f>
        <v>0.93071260221864949</v>
      </c>
    </row>
    <row r="139" spans="1:109" x14ac:dyDescent="0.3">
      <c r="A139">
        <v>2025</v>
      </c>
      <c r="B139">
        <v>18131644438</v>
      </c>
      <c r="C139">
        <v>-3.5065578973199818</v>
      </c>
      <c r="D139">
        <v>0.03</v>
      </c>
      <c r="E139">
        <v>1467</v>
      </c>
      <c r="F139">
        <v>5</v>
      </c>
      <c r="G139" t="s">
        <v>25</v>
      </c>
      <c r="H139">
        <v>3042</v>
      </c>
      <c r="I139" t="s">
        <v>302</v>
      </c>
      <c r="J139" t="s">
        <v>26</v>
      </c>
      <c r="K139">
        <v>11</v>
      </c>
      <c r="L139">
        <v>262</v>
      </c>
      <c r="M139" t="s">
        <v>273</v>
      </c>
      <c r="N139" t="s">
        <v>111</v>
      </c>
      <c r="O139" t="s">
        <v>207</v>
      </c>
      <c r="P139">
        <v>1969</v>
      </c>
      <c r="Q139">
        <v>1977</v>
      </c>
      <c r="R139">
        <v>60</v>
      </c>
      <c r="S139">
        <v>55</v>
      </c>
      <c r="T139">
        <v>47</v>
      </c>
      <c r="U139">
        <v>2</v>
      </c>
      <c r="V139">
        <v>1026</v>
      </c>
      <c r="W139">
        <v>720</v>
      </c>
      <c r="X139">
        <v>0</v>
      </c>
      <c r="Y139">
        <v>0</v>
      </c>
      <c r="Z139">
        <v>0</v>
      </c>
      <c r="AA139">
        <v>0</v>
      </c>
      <c r="AB139">
        <v>1746</v>
      </c>
      <c r="AC139">
        <v>2000</v>
      </c>
      <c r="AD139">
        <v>2</v>
      </c>
      <c r="AE139" t="s">
        <v>5</v>
      </c>
      <c r="AF139" t="s">
        <v>275</v>
      </c>
      <c r="AG139" t="s">
        <v>111</v>
      </c>
      <c r="AH139" t="s">
        <v>314</v>
      </c>
      <c r="AI139">
        <v>0</v>
      </c>
      <c r="AJ139">
        <v>1</v>
      </c>
      <c r="AK139">
        <v>0</v>
      </c>
      <c r="AL139">
        <v>1</v>
      </c>
      <c r="AM139">
        <v>1</v>
      </c>
      <c r="AN139">
        <v>10</v>
      </c>
      <c r="AO139">
        <v>441</v>
      </c>
      <c r="AP139">
        <v>0</v>
      </c>
      <c r="AQ139">
        <v>441</v>
      </c>
      <c r="AR139">
        <v>0</v>
      </c>
      <c r="AS139">
        <v>0</v>
      </c>
      <c r="AT139">
        <v>100</v>
      </c>
      <c r="AU139">
        <v>0</v>
      </c>
      <c r="AV139">
        <v>100</v>
      </c>
      <c r="AW139">
        <v>100</v>
      </c>
      <c r="AX139">
        <v>270216</v>
      </c>
      <c r="AY139">
        <v>210768</v>
      </c>
      <c r="AZ139">
        <v>976</v>
      </c>
      <c r="BA139">
        <v>365</v>
      </c>
      <c r="BB139">
        <v>365</v>
      </c>
      <c r="BC139">
        <v>246</v>
      </c>
      <c r="BD139" s="6">
        <v>44316</v>
      </c>
      <c r="BE139" t="s">
        <v>306</v>
      </c>
      <c r="BF139">
        <v>262000</v>
      </c>
      <c r="BG139">
        <v>262000</v>
      </c>
      <c r="BH139" t="s">
        <v>198</v>
      </c>
      <c r="BI139">
        <v>30</v>
      </c>
      <c r="BJ139" t="s">
        <v>51</v>
      </c>
      <c r="BK139" t="s">
        <v>314</v>
      </c>
      <c r="BL139">
        <v>307200</v>
      </c>
      <c r="BM139">
        <v>46100</v>
      </c>
      <c r="BN139">
        <v>261100</v>
      </c>
      <c r="BO139">
        <v>0</v>
      </c>
      <c r="BP139">
        <v>1.1725190839694657</v>
      </c>
      <c r="BQ139">
        <v>294952.98660387378</v>
      </c>
      <c r="BR139">
        <v>393866.51163234009</v>
      </c>
      <c r="BS139" s="7">
        <f>(BR139-BL139)/BL139</f>
        <v>0.28211755088652374</v>
      </c>
      <c r="BT139" s="14">
        <f>(Sales[[#This Row],[DP1]]*Lookups!$B$51)+(Sales[[#This Row],[DP2]]*Lookups!$B$52)+(Sales[[#This Row],[DP3]]*Lookups!$B$53)</f>
        <v>-98913.526710000006</v>
      </c>
      <c r="BU139" s="14">
        <f>Lookups!$B$48*0.5</f>
        <v>87214.824999999997</v>
      </c>
      <c r="BV139" s="14">
        <f>Lookups!$B$48*0.5</f>
        <v>87214.824999999997</v>
      </c>
      <c r="BW139" s="14">
        <f>Lookups!$B$49*Sales[[#This Row],[LnAcres]]</f>
        <v>-87761.591044208326</v>
      </c>
      <c r="BX139" s="14">
        <f>VLOOKUP(Sales[[#This Row],[Qlty]],Lookups!$A$54:$E$67,2,FALSE)</f>
        <v>-14329.694740000001</v>
      </c>
      <c r="BY139" s="14">
        <f>VLOOKUP(Sales[[#This Row],[Cnd]],Lookups!$A$68:$E$76,2,FALSE)</f>
        <v>47273.897095</v>
      </c>
      <c r="BZ139" s="14">
        <f>Sales[[#This Row],[Age]]*Lookups!$B$77</f>
        <v>10148.183649999999</v>
      </c>
      <c r="CA139" s="14">
        <f>Sales[[#This Row],[MainFn]]*Lookups!$B$78</f>
        <v>70879.628934000008</v>
      </c>
      <c r="CB139" s="14">
        <f>Sales[[#This Row],[UpprFn]]*Lookups!$B$79</f>
        <v>44052.606</v>
      </c>
      <c r="CC139" s="14">
        <f>Sales[[#This Row],[AddFn]]*Lookups!$B$80</f>
        <v>0</v>
      </c>
      <c r="CD139" s="14">
        <f>Sales[[#This Row],[Bsmt]]*Lookups!$B$81</f>
        <v>0</v>
      </c>
      <c r="CE139" s="14">
        <f>Sales[[#This Row],[Fixtures]]*Lookups!$B$84</f>
        <v>101551</v>
      </c>
      <c r="CF139" s="14">
        <f>Sales[[#This Row],[MsnryFP]]*Lookups!$B$82</f>
        <v>25273.623</v>
      </c>
      <c r="CG139" s="14">
        <f>Sales[[#This Row],[PrefabFP]]*Lookups!$B$83</f>
        <v>0</v>
      </c>
      <c r="CH139" s="14">
        <f>Sales[[#This Row],[GarageArea]]*Lookups!$B$85</f>
        <v>22349.217176999999</v>
      </c>
      <c r="CI139" s="14">
        <f>SUM(Sales[[#This Row],[Days Prior Total]:[Mdl GarageArea]])</f>
        <v>294952.99336179171</v>
      </c>
      <c r="CJ139" s="14">
        <f>ROUND(Sales[[#This Row],[25Det]],-2)</f>
        <v>0</v>
      </c>
      <c r="CK139" s="14">
        <f>ROUND(SUM(Sales[[#This Row],[Mdl Qlty]:[Mdl GarageArea]])+Sales[[#This Row],[Mdl Res Intercept]]+Sales[[#This Row],[Days Prior Total]],-2)</f>
        <v>295500</v>
      </c>
      <c r="CL139" s="14">
        <f>ROUND(Sales[[#This Row],[Mdl Land Intercept]]+Sales[[#This Row],[Mdl LnAcres]],-2)</f>
        <v>-500</v>
      </c>
      <c r="CM139" s="14">
        <f>Sales[[#This Row],[Unadj Res Value]]+Sales[[#This Row],[Unadj Det Value]]+Sales[[#This Row],[Unadj Land Value]]</f>
        <v>295000</v>
      </c>
      <c r="CN139" s="15">
        <f>Sales[[#This Row],[Unadj Total Value]]/Sales[[#This Row],[Price]]</f>
        <v>1.1259541984732824</v>
      </c>
      <c r="CO139" s="15">
        <f>(Sales[[#This Row],[Unadj Total Value]]-Sales[[#This Row],[24Final]])/Sales[[#This Row],[24Final]]</f>
        <v>-3.9713541666666664E-2</v>
      </c>
      <c r="CP139">
        <f>VLOOKUP(Sales[[#This Row],[TNbhd]],Lookups!$M$2:$P$4,4,FALSE)</f>
        <v>0.97570000000000001</v>
      </c>
      <c r="CQ139">
        <f>VLOOKUP(Sales[[#This Row],[Qlty]],Lookups!$M$6:$P$20,4,FALSE)</f>
        <v>0.98809999999999998</v>
      </c>
      <c r="CR139">
        <f>VLOOKUP(Sales[[#This Row],[Cnd]],Lookups!$R$6:$U$15,4,FALSE)</f>
        <v>0.97829999999999995</v>
      </c>
      <c r="CS139">
        <f>VLOOKUP(Sales[[#This Row],[LivArea Range]],Lookups!$R$23:$U$39,4,FALSE)</f>
        <v>0.99099999999999999</v>
      </c>
      <c r="CT139">
        <f>VLOOKUP(Sales[[#This Row],[Decade]],Lookups!$M$23:$P$35,4,FALSE)</f>
        <v>0.97289999999999999</v>
      </c>
      <c r="CU139">
        <f>Sales[[#This Row],[Nbhd Adj]]*0.95</f>
        <v>0.92691499999999993</v>
      </c>
      <c r="CV139">
        <f>Sales[[#This Row],[Nbhd Adj]]*Sales[[#This Row],[Quality Adj]]*Sales[[#This Row],[Condition Adj]]*Sales[[#This Row],[Living Area Adj]]*Sales[[#This Row],[Decade Adj]]*0.95</f>
        <v>0.86388258862398182</v>
      </c>
      <c r="CW139">
        <f>ROUND(SUM(Sales[[#This Row],[Mdl Qlty]:[Mdl GarageArea]])+Sales[[#This Row],[Mdl Res Intercept]]*Sales[[#This Row],[Res Adj ]],-2)</f>
        <v>382500</v>
      </c>
      <c r="CX139">
        <f>ROUND(Sales[[#This Row],[25Det]]*Sales[[#This Row],[Det/Nbhd Adj]],-2)</f>
        <v>0</v>
      </c>
      <c r="CY139">
        <f>Sales[[#This Row],[Adjusted Res]]+Sales[[#This Row],[Adj Det ]]</f>
        <v>382500</v>
      </c>
      <c r="CZ139">
        <f>ROUND((Sales[[#This Row],[Mdl Land Intercept]]+Sales[[#This Row],[Mdl LnAcres]])*Sales[[#This Row],[Det/Nbhd Adj]],-2)</f>
        <v>-500</v>
      </c>
      <c r="DA139">
        <f>Sales[[#This Row],[Adjusted Impr Total]]+Sales[[#This Row],[Adjusted Land Total]]</f>
        <v>382000</v>
      </c>
      <c r="DB139">
        <f>IFERROR((Sales[[#This Row],[Adjusted Impr Total]]-Sales[[#This Row],[24Bldg]])/Sales[[#This Row],[24Bldg]],0)</f>
        <v>0.46495595557257757</v>
      </c>
      <c r="DC139">
        <f>(Sales[[#This Row],[Adjusted Land Total]]-Sales[[#This Row],[24Lnd]])/Sales[[#This Row],[24Lnd]]</f>
        <v>-1.0108459869848156</v>
      </c>
      <c r="DD139">
        <f>(Sales[[#This Row],[Adjusted Total]]-Sales[[#This Row],[24Final]])/Sales[[#This Row],[24Final]]</f>
        <v>0.24348958333333334</v>
      </c>
      <c r="DE139">
        <f>(Sales[[#This Row],[Adjusted Total]]+Sales[[#This Row],[Days Prior Total]])/Sales[[#This Row],[Price]]</f>
        <v>1.0804827224809159</v>
      </c>
    </row>
    <row r="140" spans="1:109" x14ac:dyDescent="0.3">
      <c r="A140">
        <v>2025</v>
      </c>
      <c r="B140">
        <v>18131532464</v>
      </c>
      <c r="C140">
        <v>-1.4696759700589417</v>
      </c>
      <c r="D140">
        <v>0.23</v>
      </c>
      <c r="E140">
        <v>0</v>
      </c>
      <c r="F140">
        <v>5</v>
      </c>
      <c r="G140" t="s">
        <v>89</v>
      </c>
      <c r="H140">
        <v>3041</v>
      </c>
      <c r="I140" t="s">
        <v>302</v>
      </c>
      <c r="J140" t="s">
        <v>26</v>
      </c>
      <c r="K140">
        <v>11</v>
      </c>
      <c r="L140">
        <v>259</v>
      </c>
      <c r="M140" t="s">
        <v>172</v>
      </c>
      <c r="N140" t="s">
        <v>111</v>
      </c>
      <c r="O140" t="s">
        <v>231</v>
      </c>
      <c r="P140">
        <v>1968</v>
      </c>
      <c r="Q140">
        <v>1977</v>
      </c>
      <c r="R140">
        <v>60</v>
      </c>
      <c r="S140">
        <v>56</v>
      </c>
      <c r="T140">
        <v>47</v>
      </c>
      <c r="U140">
        <v>1</v>
      </c>
      <c r="V140">
        <v>1556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1556</v>
      </c>
      <c r="AC140">
        <v>2000</v>
      </c>
      <c r="AD140">
        <v>2</v>
      </c>
      <c r="AE140" t="s">
        <v>5</v>
      </c>
      <c r="AF140" t="s">
        <v>275</v>
      </c>
      <c r="AG140" t="s">
        <v>111</v>
      </c>
      <c r="AH140" t="s">
        <v>314</v>
      </c>
      <c r="AI140">
        <v>0</v>
      </c>
      <c r="AJ140">
        <v>1</v>
      </c>
      <c r="AK140">
        <v>0</v>
      </c>
      <c r="AL140">
        <v>1</v>
      </c>
      <c r="AM140">
        <v>0</v>
      </c>
      <c r="AN140">
        <v>8</v>
      </c>
      <c r="AO140">
        <v>528</v>
      </c>
      <c r="AP140">
        <v>0</v>
      </c>
      <c r="AQ140">
        <v>528</v>
      </c>
      <c r="AR140">
        <v>0</v>
      </c>
      <c r="AS140">
        <v>0</v>
      </c>
      <c r="AT140">
        <v>0</v>
      </c>
      <c r="AU140">
        <v>0</v>
      </c>
      <c r="AV140">
        <v>100</v>
      </c>
      <c r="AW140">
        <v>100</v>
      </c>
      <c r="AX140">
        <v>323266</v>
      </c>
      <c r="AY140">
        <v>245682</v>
      </c>
      <c r="AZ140">
        <v>753</v>
      </c>
      <c r="BA140">
        <v>365</v>
      </c>
      <c r="BB140">
        <v>365</v>
      </c>
      <c r="BC140">
        <v>23</v>
      </c>
      <c r="BD140" s="6">
        <v>44539</v>
      </c>
      <c r="BE140" t="s">
        <v>233</v>
      </c>
      <c r="BF140">
        <v>350000</v>
      </c>
      <c r="BG140">
        <v>350000</v>
      </c>
      <c r="BH140" t="s">
        <v>198</v>
      </c>
      <c r="BI140">
        <v>30</v>
      </c>
      <c r="BJ140" t="s">
        <v>51</v>
      </c>
      <c r="BK140" t="s">
        <v>314</v>
      </c>
      <c r="BL140">
        <v>354800</v>
      </c>
      <c r="BM140">
        <v>77000</v>
      </c>
      <c r="BN140">
        <v>277800</v>
      </c>
      <c r="BO140">
        <v>0</v>
      </c>
      <c r="BP140">
        <v>1.0137142857142858</v>
      </c>
      <c r="BQ140">
        <v>344317.51599844644</v>
      </c>
      <c r="BR140">
        <v>374416.3522732585</v>
      </c>
      <c r="BS140" s="7">
        <f>(BR140-BL140)/BL140</f>
        <v>5.5288478785959688E-2</v>
      </c>
      <c r="BT140" s="14">
        <f>(Sales[[#This Row],[DP1]]*Lookups!$B$51)+(Sales[[#This Row],[DP2]]*Lookups!$B$52)+(Sales[[#This Row],[DP3]]*Lookups!$B$53)</f>
        <v>-30098.848710000002</v>
      </c>
      <c r="BU140" s="14">
        <f>Lookups!$B$48*0.5</f>
        <v>87214.824999999997</v>
      </c>
      <c r="BV140" s="14">
        <f>Lookups!$B$48*0.5</f>
        <v>87214.824999999997</v>
      </c>
      <c r="BW140" s="14">
        <f>Lookups!$B$49*Sales[[#This Row],[LnAcres]]</f>
        <v>-36782.823848535809</v>
      </c>
      <c r="BX140" s="14">
        <f>VLOOKUP(Sales[[#This Row],[Qlty]],Lookups!$A$54:$E$67,2,FALSE)</f>
        <v>-14329.694740000001</v>
      </c>
      <c r="BY140" s="14">
        <f>VLOOKUP(Sales[[#This Row],[Cnd]],Lookups!$A$68:$E$76,2,FALSE)</f>
        <v>0</v>
      </c>
      <c r="BZ140" s="14">
        <f>Sales[[#This Row],[Age]]*Lookups!$B$77</f>
        <v>10332.69608</v>
      </c>
      <c r="CA140" s="14">
        <f>Sales[[#This Row],[MainFn]]*Lookups!$B$78</f>
        <v>107493.862204</v>
      </c>
      <c r="CB140" s="14">
        <f>Sales[[#This Row],[UpprFn]]*Lookups!$B$79</f>
        <v>0</v>
      </c>
      <c r="CC140" s="14">
        <f>Sales[[#This Row],[AddFn]]*Lookups!$B$80</f>
        <v>0</v>
      </c>
      <c r="CD140" s="14">
        <f>Sales[[#This Row],[Bsmt]]*Lookups!$B$81</f>
        <v>0</v>
      </c>
      <c r="CE140" s="14">
        <f>Sales[[#This Row],[Fixtures]]*Lookups!$B$84</f>
        <v>81240.800000000003</v>
      </c>
      <c r="CF140" s="14">
        <f>Sales[[#This Row],[MsnryFP]]*Lookups!$B$82</f>
        <v>25273.623</v>
      </c>
      <c r="CG140" s="14">
        <f>Sales[[#This Row],[PrefabFP]]*Lookups!$B$83</f>
        <v>0</v>
      </c>
      <c r="CH140" s="14">
        <f>Sales[[#This Row],[GarageArea]]*Lookups!$B$85</f>
        <v>26758.246416000002</v>
      </c>
      <c r="CI140" s="14">
        <f>SUM(Sales[[#This Row],[Days Prior Total]:[Mdl GarageArea]])</f>
        <v>344317.51040146418</v>
      </c>
      <c r="CJ140" s="14">
        <f>ROUND(Sales[[#This Row],[25Det]],-2)</f>
        <v>0</v>
      </c>
      <c r="CK140" s="14">
        <f>ROUND(SUM(Sales[[#This Row],[Mdl Qlty]:[Mdl GarageArea]])+Sales[[#This Row],[Mdl Res Intercept]]+Sales[[#This Row],[Days Prior Total]],-2)</f>
        <v>293900</v>
      </c>
      <c r="CL140" s="14">
        <f>ROUND(Sales[[#This Row],[Mdl Land Intercept]]+Sales[[#This Row],[Mdl LnAcres]],-2)</f>
        <v>50400</v>
      </c>
      <c r="CM140" s="14">
        <f>Sales[[#This Row],[Unadj Res Value]]+Sales[[#This Row],[Unadj Det Value]]+Sales[[#This Row],[Unadj Land Value]]</f>
        <v>344300</v>
      </c>
      <c r="CN140" s="15">
        <f>Sales[[#This Row],[Unadj Total Value]]/Sales[[#This Row],[Price]]</f>
        <v>0.98371428571428576</v>
      </c>
      <c r="CO140" s="15">
        <f>(Sales[[#This Row],[Unadj Total Value]]-Sales[[#This Row],[24Final]])/Sales[[#This Row],[24Final]]</f>
        <v>-2.9594137542277341E-2</v>
      </c>
      <c r="CP140">
        <f>VLOOKUP(Sales[[#This Row],[TNbhd]],Lookups!$M$2:$P$4,4,FALSE)</f>
        <v>0.97570000000000001</v>
      </c>
      <c r="CQ140">
        <f>VLOOKUP(Sales[[#This Row],[Qlty]],Lookups!$M$6:$P$20,4,FALSE)</f>
        <v>0.98809999999999998</v>
      </c>
      <c r="CR140">
        <f>VLOOKUP(Sales[[#This Row],[Cnd]],Lookups!$R$6:$U$15,4,FALSE)</f>
        <v>0.9677</v>
      </c>
      <c r="CS140">
        <f>VLOOKUP(Sales[[#This Row],[LivArea Range]],Lookups!$R$23:$U$39,4,FALSE)</f>
        <v>0.99099999999999999</v>
      </c>
      <c r="CT140">
        <f>VLOOKUP(Sales[[#This Row],[Decade]],Lookups!$M$23:$P$35,4,FALSE)</f>
        <v>0.97289999999999999</v>
      </c>
      <c r="CU140">
        <f>Sales[[#This Row],[Nbhd Adj]]*0.95</f>
        <v>0.92691499999999993</v>
      </c>
      <c r="CV140">
        <f>Sales[[#This Row],[Nbhd Adj]]*Sales[[#This Row],[Quality Adj]]*Sales[[#This Row],[Condition Adj]]*Sales[[#This Row],[Living Area Adj]]*Sales[[#This Row],[Decade Adj]]*0.95</f>
        <v>0.85452231525240441</v>
      </c>
      <c r="CW140">
        <f>ROUND(SUM(Sales[[#This Row],[Mdl Qlty]:[Mdl GarageArea]])+Sales[[#This Row],[Mdl Res Intercept]]*Sales[[#This Row],[Res Adj ]],-2)</f>
        <v>311300</v>
      </c>
      <c r="CX140">
        <f>ROUND(Sales[[#This Row],[25Det]]*Sales[[#This Row],[Det/Nbhd Adj]],-2)</f>
        <v>0</v>
      </c>
      <c r="CY140">
        <f>Sales[[#This Row],[Adjusted Res]]+Sales[[#This Row],[Adj Det ]]</f>
        <v>311300</v>
      </c>
      <c r="CZ140">
        <f>ROUND((Sales[[#This Row],[Mdl Land Intercept]]+Sales[[#This Row],[Mdl LnAcres]])*Sales[[#This Row],[Det/Nbhd Adj]],-2)</f>
        <v>46700</v>
      </c>
      <c r="DA140">
        <f>Sales[[#This Row],[Adjusted Impr Total]]+Sales[[#This Row],[Adjusted Land Total]]</f>
        <v>358000</v>
      </c>
      <c r="DB140">
        <f>IFERROR((Sales[[#This Row],[Adjusted Impr Total]]-Sales[[#This Row],[24Bldg]])/Sales[[#This Row],[24Bldg]],0)</f>
        <v>0.12059035277177826</v>
      </c>
      <c r="DC140">
        <f>(Sales[[#This Row],[Adjusted Land Total]]-Sales[[#This Row],[24Lnd]])/Sales[[#This Row],[24Lnd]]</f>
        <v>-0.39350649350649353</v>
      </c>
      <c r="DD140">
        <f>(Sales[[#This Row],[Adjusted Total]]-Sales[[#This Row],[24Final]])/Sales[[#This Row],[24Final]]</f>
        <v>9.0191657271702363E-3</v>
      </c>
      <c r="DE140">
        <f>(Sales[[#This Row],[Adjusted Total]]+Sales[[#This Row],[Days Prior Total]])/Sales[[#This Row],[Price]]</f>
        <v>0.93686043225714288</v>
      </c>
    </row>
    <row r="141" spans="1:109" x14ac:dyDescent="0.3">
      <c r="A141">
        <v>2025</v>
      </c>
      <c r="B141">
        <v>18131533413</v>
      </c>
      <c r="C141">
        <v>-1.6607312068216509</v>
      </c>
      <c r="D141">
        <v>0.19</v>
      </c>
      <c r="E141">
        <v>8256</v>
      </c>
      <c r="F141">
        <v>5</v>
      </c>
      <c r="G141" t="s">
        <v>89</v>
      </c>
      <c r="H141">
        <v>3042</v>
      </c>
      <c r="I141" t="s">
        <v>302</v>
      </c>
      <c r="J141" t="s">
        <v>26</v>
      </c>
      <c r="K141">
        <v>11</v>
      </c>
      <c r="L141">
        <v>259</v>
      </c>
      <c r="M141" t="s">
        <v>131</v>
      </c>
      <c r="N141" t="s">
        <v>111</v>
      </c>
      <c r="O141" t="s">
        <v>231</v>
      </c>
      <c r="P141">
        <v>1968</v>
      </c>
      <c r="Q141">
        <v>1977</v>
      </c>
      <c r="R141">
        <v>60</v>
      </c>
      <c r="S141">
        <v>56</v>
      </c>
      <c r="T141">
        <v>47</v>
      </c>
      <c r="U141">
        <v>2</v>
      </c>
      <c r="V141">
        <v>1282</v>
      </c>
      <c r="W141">
        <v>456</v>
      </c>
      <c r="X141">
        <v>0</v>
      </c>
      <c r="Y141">
        <v>0</v>
      </c>
      <c r="Z141">
        <v>0</v>
      </c>
      <c r="AA141">
        <v>0</v>
      </c>
      <c r="AB141">
        <v>1738</v>
      </c>
      <c r="AC141">
        <v>2000</v>
      </c>
      <c r="AD141">
        <v>2</v>
      </c>
      <c r="AE141" t="s">
        <v>132</v>
      </c>
      <c r="AF141" t="s">
        <v>275</v>
      </c>
      <c r="AG141" t="s">
        <v>111</v>
      </c>
      <c r="AH141" t="s">
        <v>314</v>
      </c>
      <c r="AI141">
        <v>0</v>
      </c>
      <c r="AJ141">
        <v>2</v>
      </c>
      <c r="AK141">
        <v>0</v>
      </c>
      <c r="AL141">
        <v>0</v>
      </c>
      <c r="AM141">
        <v>1</v>
      </c>
      <c r="AN141">
        <v>7</v>
      </c>
      <c r="AO141">
        <v>440</v>
      </c>
      <c r="AP141">
        <v>0</v>
      </c>
      <c r="AQ141">
        <v>440</v>
      </c>
      <c r="AR141">
        <v>0</v>
      </c>
      <c r="AS141">
        <v>132</v>
      </c>
      <c r="AT141">
        <v>552</v>
      </c>
      <c r="AU141">
        <v>0</v>
      </c>
      <c r="AV141">
        <v>100</v>
      </c>
      <c r="AW141">
        <v>100</v>
      </c>
      <c r="AX141">
        <v>340653</v>
      </c>
      <c r="AY141">
        <v>258896</v>
      </c>
      <c r="AZ141">
        <v>199</v>
      </c>
      <c r="BA141">
        <v>199</v>
      </c>
      <c r="BB141">
        <v>0</v>
      </c>
      <c r="BC141">
        <v>0</v>
      </c>
      <c r="BD141" s="6">
        <v>45093</v>
      </c>
      <c r="BE141" t="s">
        <v>209</v>
      </c>
      <c r="BF141">
        <v>405000</v>
      </c>
      <c r="BG141">
        <v>405000</v>
      </c>
      <c r="BH141" t="s">
        <v>198</v>
      </c>
      <c r="BI141">
        <v>30</v>
      </c>
      <c r="BJ141" t="s">
        <v>51</v>
      </c>
      <c r="BK141" t="s">
        <v>314</v>
      </c>
      <c r="BL141">
        <v>375000</v>
      </c>
      <c r="BM141">
        <v>66200</v>
      </c>
      <c r="BN141">
        <v>308800</v>
      </c>
      <c r="BO141">
        <v>0</v>
      </c>
      <c r="BP141">
        <v>0.92592592592592593</v>
      </c>
      <c r="BQ141">
        <v>357790.35248173279</v>
      </c>
      <c r="BR141">
        <v>389264.58306347072</v>
      </c>
      <c r="BS141" s="7">
        <f>(BR141-BL141)/BL141</f>
        <v>3.8038888169255262E-2</v>
      </c>
      <c r="BT141" s="14">
        <f>(Sales[[#This Row],[DP1]]*Lookups!$B$51)+(Sales[[#This Row],[DP2]]*Lookups!$B$52)+(Sales[[#This Row],[DP3]]*Lookups!$B$53)</f>
        <v>-31474.238000000001</v>
      </c>
      <c r="BU141" s="14">
        <f>Lookups!$B$48*0.5</f>
        <v>87214.824999999997</v>
      </c>
      <c r="BV141" s="14">
        <f>Lookups!$B$48*0.5</f>
        <v>87214.824999999997</v>
      </c>
      <c r="BW141" s="14">
        <f>Lookups!$B$49*Sales[[#This Row],[LnAcres]]</f>
        <v>-41564.524891726433</v>
      </c>
      <c r="BX141" s="14">
        <f>VLOOKUP(Sales[[#This Row],[Qlty]],Lookups!$A$54:$E$67,2,FALSE)</f>
        <v>-14329.694740000001</v>
      </c>
      <c r="BY141" s="14">
        <f>VLOOKUP(Sales[[#This Row],[Cnd]],Lookups!$A$68:$E$76,2,FALSE)</f>
        <v>0</v>
      </c>
      <c r="BZ141" s="14">
        <f>Sales[[#This Row],[Age]]*Lookups!$B$77</f>
        <v>10332.69608</v>
      </c>
      <c r="CA141" s="14">
        <f>Sales[[#This Row],[MainFn]]*Lookups!$B$78</f>
        <v>88564.994438000009</v>
      </c>
      <c r="CB141" s="14">
        <f>Sales[[#This Row],[UpprFn]]*Lookups!$B$79</f>
        <v>27899.983800000002</v>
      </c>
      <c r="CC141" s="14">
        <f>Sales[[#This Row],[AddFn]]*Lookups!$B$80</f>
        <v>0</v>
      </c>
      <c r="CD141" s="14">
        <f>Sales[[#This Row],[Bsmt]]*Lookups!$B$81</f>
        <v>0</v>
      </c>
      <c r="CE141" s="14">
        <f>Sales[[#This Row],[Fixtures]]*Lookups!$B$84</f>
        <v>71085.7</v>
      </c>
      <c r="CF141" s="14">
        <f>Sales[[#This Row],[MsnryFP]]*Lookups!$B$82</f>
        <v>50547.245999999999</v>
      </c>
      <c r="CG141" s="14">
        <f>Sales[[#This Row],[PrefabFP]]*Lookups!$B$83</f>
        <v>0</v>
      </c>
      <c r="CH141" s="14">
        <f>Sales[[#This Row],[GarageArea]]*Lookups!$B$85</f>
        <v>22298.538680000001</v>
      </c>
      <c r="CI141" s="14">
        <f>SUM(Sales[[#This Row],[Days Prior Total]:[Mdl GarageArea]])</f>
        <v>357790.35136627353</v>
      </c>
      <c r="CJ141" s="14">
        <f>ROUND(Sales[[#This Row],[25Det]],-2)</f>
        <v>0</v>
      </c>
      <c r="CK141" s="14">
        <f>ROUND(SUM(Sales[[#This Row],[Mdl Qlty]:[Mdl GarageArea]])+Sales[[#This Row],[Mdl Res Intercept]]+Sales[[#This Row],[Days Prior Total]],-2)</f>
        <v>312100</v>
      </c>
      <c r="CL141" s="14">
        <f>ROUND(Sales[[#This Row],[Mdl Land Intercept]]+Sales[[#This Row],[Mdl LnAcres]],-2)</f>
        <v>45700</v>
      </c>
      <c r="CM141" s="14">
        <f>Sales[[#This Row],[Unadj Res Value]]+Sales[[#This Row],[Unadj Det Value]]+Sales[[#This Row],[Unadj Land Value]]</f>
        <v>357800</v>
      </c>
      <c r="CN141" s="15">
        <f>Sales[[#This Row],[Unadj Total Value]]/Sales[[#This Row],[Price]]</f>
        <v>0.88345679012345679</v>
      </c>
      <c r="CO141" s="15">
        <f>(Sales[[#This Row],[Unadj Total Value]]-Sales[[#This Row],[24Final]])/Sales[[#This Row],[24Final]]</f>
        <v>-4.5866666666666667E-2</v>
      </c>
      <c r="CP141">
        <f>VLOOKUP(Sales[[#This Row],[TNbhd]],Lookups!$M$2:$P$4,4,FALSE)</f>
        <v>0.97570000000000001</v>
      </c>
      <c r="CQ141">
        <f>VLOOKUP(Sales[[#This Row],[Qlty]],Lookups!$M$6:$P$20,4,FALSE)</f>
        <v>0.98809999999999998</v>
      </c>
      <c r="CR141">
        <f>VLOOKUP(Sales[[#This Row],[Cnd]],Lookups!$R$6:$U$15,4,FALSE)</f>
        <v>0.9677</v>
      </c>
      <c r="CS141">
        <f>VLOOKUP(Sales[[#This Row],[LivArea Range]],Lookups!$R$23:$U$39,4,FALSE)</f>
        <v>0.99099999999999999</v>
      </c>
      <c r="CT141">
        <f>VLOOKUP(Sales[[#This Row],[Decade]],Lookups!$M$23:$P$35,4,FALSE)</f>
        <v>0.97289999999999999</v>
      </c>
      <c r="CU141">
        <f>Sales[[#This Row],[Nbhd Adj]]*0.95</f>
        <v>0.92691499999999993</v>
      </c>
      <c r="CV141">
        <f>Sales[[#This Row],[Nbhd Adj]]*Sales[[#This Row],[Quality Adj]]*Sales[[#This Row],[Condition Adj]]*Sales[[#This Row],[Living Area Adj]]*Sales[[#This Row],[Decade Adj]]*0.95</f>
        <v>0.85452231525240441</v>
      </c>
      <c r="CW141">
        <f>ROUND(SUM(Sales[[#This Row],[Mdl Qlty]:[Mdl GarageArea]])+Sales[[#This Row],[Mdl Res Intercept]]*Sales[[#This Row],[Res Adj ]],-2)</f>
        <v>330900</v>
      </c>
      <c r="CX141">
        <f>ROUND(Sales[[#This Row],[25Det]]*Sales[[#This Row],[Det/Nbhd Adj]],-2)</f>
        <v>0</v>
      </c>
      <c r="CY141">
        <f>Sales[[#This Row],[Adjusted Res]]+Sales[[#This Row],[Adj Det ]]</f>
        <v>330900</v>
      </c>
      <c r="CZ141">
        <f>ROUND((Sales[[#This Row],[Mdl Land Intercept]]+Sales[[#This Row],[Mdl LnAcres]])*Sales[[#This Row],[Det/Nbhd Adj]],-2)</f>
        <v>42300</v>
      </c>
      <c r="DA141">
        <f>Sales[[#This Row],[Adjusted Impr Total]]+Sales[[#This Row],[Adjusted Land Total]]</f>
        <v>373200</v>
      </c>
      <c r="DB141">
        <f>IFERROR((Sales[[#This Row],[Adjusted Impr Total]]-Sales[[#This Row],[24Bldg]])/Sales[[#This Row],[24Bldg]],0)</f>
        <v>7.1567357512953372E-2</v>
      </c>
      <c r="DC141">
        <f>(Sales[[#This Row],[Adjusted Land Total]]-Sales[[#This Row],[24Lnd]])/Sales[[#This Row],[24Lnd]]</f>
        <v>-0.36102719033232628</v>
      </c>
      <c r="DD141">
        <f>(Sales[[#This Row],[Adjusted Total]]-Sales[[#This Row],[24Final]])/Sales[[#This Row],[24Final]]</f>
        <v>-4.7999999999999996E-3</v>
      </c>
      <c r="DE141">
        <f>(Sales[[#This Row],[Adjusted Total]]+Sales[[#This Row],[Days Prior Total]])/Sales[[#This Row],[Price]]</f>
        <v>0.84376731358024692</v>
      </c>
    </row>
    <row r="142" spans="1:109" x14ac:dyDescent="0.3">
      <c r="A142">
        <v>2025</v>
      </c>
      <c r="B142">
        <v>18131644538</v>
      </c>
      <c r="C142">
        <v>-1.2039728043259361</v>
      </c>
      <c r="D142">
        <v>0.3</v>
      </c>
      <c r="E142">
        <v>12987</v>
      </c>
      <c r="F142">
        <v>5</v>
      </c>
      <c r="G142" t="s">
        <v>89</v>
      </c>
      <c r="H142">
        <v>3042</v>
      </c>
      <c r="I142" t="s">
        <v>302</v>
      </c>
      <c r="J142" t="s">
        <v>26</v>
      </c>
      <c r="K142">
        <v>11</v>
      </c>
      <c r="L142">
        <v>259</v>
      </c>
      <c r="M142" t="s">
        <v>172</v>
      </c>
      <c r="N142" t="s">
        <v>111</v>
      </c>
      <c r="O142" t="s">
        <v>231</v>
      </c>
      <c r="P142">
        <v>1968</v>
      </c>
      <c r="Q142">
        <v>1977</v>
      </c>
      <c r="R142">
        <v>60</v>
      </c>
      <c r="S142">
        <v>56</v>
      </c>
      <c r="T142">
        <v>47</v>
      </c>
      <c r="U142">
        <v>1</v>
      </c>
      <c r="V142">
        <v>1528</v>
      </c>
      <c r="W142">
        <v>0</v>
      </c>
      <c r="X142">
        <v>0</v>
      </c>
      <c r="Y142">
        <v>1528</v>
      </c>
      <c r="Z142">
        <v>1154</v>
      </c>
      <c r="AA142">
        <v>374</v>
      </c>
      <c r="AB142">
        <v>2682</v>
      </c>
      <c r="AC142">
        <v>3000</v>
      </c>
      <c r="AD142">
        <v>2</v>
      </c>
      <c r="AE142" t="s">
        <v>5</v>
      </c>
      <c r="AF142" t="s">
        <v>275</v>
      </c>
      <c r="AG142" t="s">
        <v>111</v>
      </c>
      <c r="AH142" t="s">
        <v>314</v>
      </c>
      <c r="AI142">
        <v>0</v>
      </c>
      <c r="AJ142">
        <v>2</v>
      </c>
      <c r="AK142">
        <v>0</v>
      </c>
      <c r="AL142">
        <v>2</v>
      </c>
      <c r="AM142">
        <v>0</v>
      </c>
      <c r="AN142">
        <v>12</v>
      </c>
      <c r="AO142">
        <v>552</v>
      </c>
      <c r="AP142">
        <v>0</v>
      </c>
      <c r="AQ142">
        <v>552</v>
      </c>
      <c r="AR142">
        <v>0</v>
      </c>
      <c r="AS142">
        <v>248</v>
      </c>
      <c r="AT142">
        <v>339</v>
      </c>
      <c r="AU142">
        <v>0</v>
      </c>
      <c r="AV142">
        <v>100</v>
      </c>
      <c r="AW142">
        <v>100</v>
      </c>
      <c r="AX142">
        <v>479682</v>
      </c>
      <c r="AY142">
        <v>364558</v>
      </c>
      <c r="AZ142">
        <v>796</v>
      </c>
      <c r="BA142">
        <v>365</v>
      </c>
      <c r="BB142">
        <v>365</v>
      </c>
      <c r="BC142">
        <v>66</v>
      </c>
      <c r="BD142" s="6">
        <v>44496</v>
      </c>
      <c r="BE142" t="s">
        <v>8</v>
      </c>
      <c r="BF142">
        <v>467500</v>
      </c>
      <c r="BG142">
        <v>441986</v>
      </c>
      <c r="BH142" t="s">
        <v>198</v>
      </c>
      <c r="BI142">
        <v>30</v>
      </c>
      <c r="BJ142" t="s">
        <v>51</v>
      </c>
      <c r="BK142" t="s">
        <v>314</v>
      </c>
      <c r="BL142">
        <v>452300</v>
      </c>
      <c r="BM142">
        <v>92100</v>
      </c>
      <c r="BN142">
        <v>360200</v>
      </c>
      <c r="BO142">
        <v>25514</v>
      </c>
      <c r="BP142">
        <v>0.96748663101604282</v>
      </c>
      <c r="BQ142">
        <v>446588.29220786167</v>
      </c>
      <c r="BR142">
        <v>489956.32855624828</v>
      </c>
      <c r="BS142" s="7">
        <f>(BR142-BL142)/BL142</f>
        <v>8.3255203529180366E-2</v>
      </c>
      <c r="BT142" s="14">
        <f>(Sales[[#This Row],[DP1]]*Lookups!$B$51)+(Sales[[#This Row],[DP2]]*Lookups!$B$52)+(Sales[[#This Row],[DP3]]*Lookups!$B$53)</f>
        <v>-43368.046710000002</v>
      </c>
      <c r="BU142" s="14">
        <f>Lookups!$B$48*0.5</f>
        <v>87214.824999999997</v>
      </c>
      <c r="BV142" s="14">
        <f>Lookups!$B$48*0.5</f>
        <v>87214.824999999997</v>
      </c>
      <c r="BW142" s="14">
        <f>Lookups!$B$49*Sales[[#This Row],[LnAcres]]</f>
        <v>-30132.845934857665</v>
      </c>
      <c r="BX142" s="14">
        <f>VLOOKUP(Sales[[#This Row],[Qlty]],Lookups!$A$54:$E$67,2,FALSE)</f>
        <v>-14329.694740000001</v>
      </c>
      <c r="BY142" s="14">
        <f>VLOOKUP(Sales[[#This Row],[Cnd]],Lookups!$A$68:$E$76,2,FALSE)</f>
        <v>0</v>
      </c>
      <c r="BZ142" s="14">
        <f>Sales[[#This Row],[Age]]*Lookups!$B$77</f>
        <v>10332.69608</v>
      </c>
      <c r="CA142" s="14">
        <f>Sales[[#This Row],[MainFn]]*Lookups!$B$78</f>
        <v>105559.52535200001</v>
      </c>
      <c r="CB142" s="14">
        <f>Sales[[#This Row],[UpprFn]]*Lookups!$B$79</f>
        <v>0</v>
      </c>
      <c r="CC142" s="14">
        <f>Sales[[#This Row],[AddFn]]*Lookups!$B$80</f>
        <v>0</v>
      </c>
      <c r="CD142" s="14">
        <f>Sales[[#This Row],[Bsmt]]*Lookups!$B$81</f>
        <v>43714.029424</v>
      </c>
      <c r="CE142" s="14">
        <f>Sales[[#This Row],[Fixtures]]*Lookups!$B$84</f>
        <v>121861.20000000001</v>
      </c>
      <c r="CF142" s="14">
        <f>Sales[[#This Row],[MsnryFP]]*Lookups!$B$82</f>
        <v>50547.245999999999</v>
      </c>
      <c r="CG142" s="14">
        <f>Sales[[#This Row],[PrefabFP]]*Lookups!$B$83</f>
        <v>0</v>
      </c>
      <c r="CH142" s="14">
        <f>Sales[[#This Row],[GarageArea]]*Lookups!$B$85</f>
        <v>27974.530343999999</v>
      </c>
      <c r="CI142" s="14">
        <f>SUM(Sales[[#This Row],[Days Prior Total]:[Mdl GarageArea]])</f>
        <v>446588.28981514229</v>
      </c>
      <c r="CJ142" s="14">
        <f>ROUND(Sales[[#This Row],[25Det]],-2)</f>
        <v>25500</v>
      </c>
      <c r="CK142" s="14">
        <f>ROUND(SUM(Sales[[#This Row],[Mdl Qlty]:[Mdl GarageArea]])+Sales[[#This Row],[Mdl Res Intercept]]+Sales[[#This Row],[Days Prior Total]],-2)</f>
        <v>389500</v>
      </c>
      <c r="CL142" s="14">
        <f>ROUND(Sales[[#This Row],[Mdl Land Intercept]]+Sales[[#This Row],[Mdl LnAcres]],-2)</f>
        <v>57100</v>
      </c>
      <c r="CM142" s="14">
        <f>Sales[[#This Row],[Unadj Res Value]]+Sales[[#This Row],[Unadj Det Value]]+Sales[[#This Row],[Unadj Land Value]]</f>
        <v>472100</v>
      </c>
      <c r="CN142" s="15">
        <f>Sales[[#This Row],[Unadj Total Value]]/Sales[[#This Row],[Price]]</f>
        <v>1.0098395721925133</v>
      </c>
      <c r="CO142" s="15">
        <f>(Sales[[#This Row],[Unadj Total Value]]-Sales[[#This Row],[24Final]])/Sales[[#This Row],[24Final]]</f>
        <v>4.3776254698209151E-2</v>
      </c>
      <c r="CP142">
        <f>VLOOKUP(Sales[[#This Row],[TNbhd]],Lookups!$M$2:$P$4,4,FALSE)</f>
        <v>0.97570000000000001</v>
      </c>
      <c r="CQ142">
        <f>VLOOKUP(Sales[[#This Row],[Qlty]],Lookups!$M$6:$P$20,4,FALSE)</f>
        <v>0.98809999999999998</v>
      </c>
      <c r="CR142">
        <f>VLOOKUP(Sales[[#This Row],[Cnd]],Lookups!$R$6:$U$15,4,FALSE)</f>
        <v>0.9677</v>
      </c>
      <c r="CS142">
        <f>VLOOKUP(Sales[[#This Row],[LivArea Range]],Lookups!$R$23:$U$39,4,FALSE)</f>
        <v>0.93310000000000004</v>
      </c>
      <c r="CT142">
        <f>VLOOKUP(Sales[[#This Row],[Decade]],Lookups!$M$23:$P$35,4,FALSE)</f>
        <v>0.97289999999999999</v>
      </c>
      <c r="CU142">
        <f>Sales[[#This Row],[Nbhd Adj]]*0.95</f>
        <v>0.92691499999999993</v>
      </c>
      <c r="CV142">
        <f>Sales[[#This Row],[Nbhd Adj]]*Sales[[#This Row],[Quality Adj]]*Sales[[#This Row],[Condition Adj]]*Sales[[#This Row],[Living Area Adj]]*Sales[[#This Row],[Decade Adj]]*0.95</f>
        <v>0.80459613760042237</v>
      </c>
      <c r="CW142">
        <f>ROUND(SUM(Sales[[#This Row],[Mdl Qlty]:[Mdl GarageArea]])+Sales[[#This Row],[Mdl Res Intercept]]*Sales[[#This Row],[Res Adj ]],-2)</f>
        <v>415800</v>
      </c>
      <c r="CX142">
        <f>ROUND(Sales[[#This Row],[25Det]]*Sales[[#This Row],[Det/Nbhd Adj]],-2)</f>
        <v>23600</v>
      </c>
      <c r="CY142">
        <f>Sales[[#This Row],[Adjusted Res]]+Sales[[#This Row],[Adj Det ]]</f>
        <v>439400</v>
      </c>
      <c r="CZ142">
        <f>ROUND((Sales[[#This Row],[Mdl Land Intercept]]+Sales[[#This Row],[Mdl LnAcres]])*Sales[[#This Row],[Det/Nbhd Adj]],-2)</f>
        <v>52900</v>
      </c>
      <c r="DA142">
        <f>Sales[[#This Row],[Adjusted Impr Total]]+Sales[[#This Row],[Adjusted Land Total]]</f>
        <v>492300</v>
      </c>
      <c r="DB142">
        <f>IFERROR((Sales[[#This Row],[Adjusted Impr Total]]-Sales[[#This Row],[24Bldg]])/Sales[[#This Row],[24Bldg]],0)</f>
        <v>0.21987784564131038</v>
      </c>
      <c r="DC142">
        <f>(Sales[[#This Row],[Adjusted Land Total]]-Sales[[#This Row],[24Lnd]])/Sales[[#This Row],[24Lnd]]</f>
        <v>-0.42562432138979372</v>
      </c>
      <c r="DD142">
        <f>(Sales[[#This Row],[Adjusted Total]]-Sales[[#This Row],[24Final]])/Sales[[#This Row],[24Final]]</f>
        <v>8.8436878178200312E-2</v>
      </c>
      <c r="DE142">
        <f>(Sales[[#This Row],[Adjusted Total]]+Sales[[#This Row],[Days Prior Total]])/Sales[[#This Row],[Price]]</f>
        <v>0.96028225302673786</v>
      </c>
    </row>
    <row r="143" spans="1:109" x14ac:dyDescent="0.3">
      <c r="A143">
        <v>2025</v>
      </c>
      <c r="B143">
        <v>18131532520</v>
      </c>
      <c r="C143">
        <v>-0.82098055206983023</v>
      </c>
      <c r="D143">
        <v>0.44</v>
      </c>
      <c r="E143">
        <v>18985</v>
      </c>
      <c r="F143">
        <v>5</v>
      </c>
      <c r="G143" t="s">
        <v>89</v>
      </c>
      <c r="H143">
        <v>3041</v>
      </c>
      <c r="I143" t="s">
        <v>302</v>
      </c>
      <c r="J143" t="s">
        <v>26</v>
      </c>
      <c r="K143">
        <v>11</v>
      </c>
      <c r="L143">
        <v>259</v>
      </c>
      <c r="M143" t="s">
        <v>313</v>
      </c>
      <c r="N143" t="s">
        <v>50</v>
      </c>
      <c r="O143" t="s">
        <v>258</v>
      </c>
      <c r="P143">
        <v>1968</v>
      </c>
      <c r="Q143">
        <v>1977</v>
      </c>
      <c r="R143">
        <v>60</v>
      </c>
      <c r="S143">
        <v>56</v>
      </c>
      <c r="T143">
        <v>47</v>
      </c>
      <c r="U143">
        <v>1</v>
      </c>
      <c r="V143">
        <v>3129</v>
      </c>
      <c r="W143">
        <v>0</v>
      </c>
      <c r="X143">
        <v>0</v>
      </c>
      <c r="Y143">
        <v>400</v>
      </c>
      <c r="Z143">
        <v>396</v>
      </c>
      <c r="AA143">
        <v>4</v>
      </c>
      <c r="AB143">
        <v>3525</v>
      </c>
      <c r="AC143">
        <v>4000</v>
      </c>
      <c r="AD143">
        <v>2</v>
      </c>
      <c r="AE143" t="s">
        <v>132</v>
      </c>
      <c r="AF143" t="s">
        <v>275</v>
      </c>
      <c r="AG143" t="s">
        <v>111</v>
      </c>
      <c r="AH143" t="s">
        <v>314</v>
      </c>
      <c r="AI143">
        <v>0</v>
      </c>
      <c r="AJ143">
        <v>2</v>
      </c>
      <c r="AK143">
        <v>0</v>
      </c>
      <c r="AL143">
        <v>1</v>
      </c>
      <c r="AM143">
        <v>0</v>
      </c>
      <c r="AN143">
        <v>16</v>
      </c>
      <c r="AO143">
        <v>0</v>
      </c>
      <c r="AP143">
        <v>462</v>
      </c>
      <c r="AQ143">
        <v>462</v>
      </c>
      <c r="AR143">
        <v>0</v>
      </c>
      <c r="AS143">
        <v>938</v>
      </c>
      <c r="AT143">
        <v>0</v>
      </c>
      <c r="AU143">
        <v>384</v>
      </c>
      <c r="AV143">
        <v>100</v>
      </c>
      <c r="AW143">
        <v>100</v>
      </c>
      <c r="AX143">
        <v>750773</v>
      </c>
      <c r="AY143">
        <v>653173</v>
      </c>
      <c r="AZ143">
        <v>1082</v>
      </c>
      <c r="BA143">
        <v>365</v>
      </c>
      <c r="BB143">
        <v>365</v>
      </c>
      <c r="BC143">
        <v>352</v>
      </c>
      <c r="BD143" s="6">
        <v>44210</v>
      </c>
      <c r="BE143" t="s">
        <v>311</v>
      </c>
      <c r="BF143">
        <v>800000</v>
      </c>
      <c r="BG143">
        <v>772949</v>
      </c>
      <c r="BH143" t="s">
        <v>198</v>
      </c>
      <c r="BI143">
        <v>30</v>
      </c>
      <c r="BJ143" t="s">
        <v>51</v>
      </c>
      <c r="BK143" t="s">
        <v>314</v>
      </c>
      <c r="BL143">
        <v>775400</v>
      </c>
      <c r="BM143">
        <v>113900</v>
      </c>
      <c r="BN143">
        <v>661500</v>
      </c>
      <c r="BO143">
        <v>27051</v>
      </c>
      <c r="BP143">
        <v>0.96924999999999994</v>
      </c>
      <c r="BQ143">
        <v>649919.14679413056</v>
      </c>
      <c r="BR143">
        <v>781542.79293419921</v>
      </c>
      <c r="BS143" s="7">
        <f>(BR143-BL143)/BL143</f>
        <v>7.9220956076853401E-3</v>
      </c>
      <c r="BT143" s="14">
        <f>(Sales[[#This Row],[DP1]]*Lookups!$B$51)+(Sales[[#This Row],[DP2]]*Lookups!$B$52)+(Sales[[#This Row],[DP3]]*Lookups!$B$53)</f>
        <v>-131623.64270999999</v>
      </c>
      <c r="BU143" s="14">
        <f>Lookups!$B$48*0.5</f>
        <v>87214.824999999997</v>
      </c>
      <c r="BV143" s="14">
        <f>Lookups!$B$48*0.5</f>
        <v>87214.824999999997</v>
      </c>
      <c r="BW143" s="14">
        <f>Lookups!$B$49*Sales[[#This Row],[LnAcres]]</f>
        <v>-20547.374826198695</v>
      </c>
      <c r="BX143" s="14">
        <f>VLOOKUP(Sales[[#This Row],[Qlty]],Lookups!$A$54:$E$67,2,FALSE)</f>
        <v>46722.525125</v>
      </c>
      <c r="BY143" s="14">
        <f>VLOOKUP(Sales[[#This Row],[Cnd]],Lookups!$A$68:$E$76,2,FALSE)</f>
        <v>106557.38887</v>
      </c>
      <c r="BZ143" s="14">
        <f>Sales[[#This Row],[Age]]*Lookups!$B$77</f>
        <v>10332.69608</v>
      </c>
      <c r="CA143" s="14">
        <f>Sales[[#This Row],[MainFn]]*Lookups!$B$78</f>
        <v>216162.14321100002</v>
      </c>
      <c r="CB143" s="14">
        <f>Sales[[#This Row],[UpprFn]]*Lookups!$B$79</f>
        <v>0</v>
      </c>
      <c r="CC143" s="14">
        <f>Sales[[#This Row],[AddFn]]*Lookups!$B$80</f>
        <v>0</v>
      </c>
      <c r="CD143" s="14">
        <f>Sales[[#This Row],[Bsmt]]*Lookups!$B$81</f>
        <v>11443.4632</v>
      </c>
      <c r="CE143" s="14">
        <f>Sales[[#This Row],[Fixtures]]*Lookups!$B$84</f>
        <v>162481.60000000001</v>
      </c>
      <c r="CF143" s="14">
        <f>Sales[[#This Row],[MsnryFP]]*Lookups!$B$82</f>
        <v>50547.245999999999</v>
      </c>
      <c r="CG143" s="14">
        <f>Sales[[#This Row],[PrefabFP]]*Lookups!$B$83</f>
        <v>0</v>
      </c>
      <c r="CH143" s="14">
        <f>Sales[[#This Row],[GarageArea]]*Lookups!$B$85</f>
        <v>23413.465614000001</v>
      </c>
      <c r="CI143" s="14">
        <f>SUM(Sales[[#This Row],[Days Prior Total]:[Mdl GarageArea]])</f>
        <v>649919.1605638013</v>
      </c>
      <c r="CJ143" s="14">
        <f>ROUND(Sales[[#This Row],[25Det]],-2)</f>
        <v>27100</v>
      </c>
      <c r="CK143" s="14">
        <f>ROUND(SUM(Sales[[#This Row],[Mdl Qlty]:[Mdl GarageArea]])+Sales[[#This Row],[Mdl Res Intercept]]+Sales[[#This Row],[Days Prior Total]],-2)</f>
        <v>583300</v>
      </c>
      <c r="CL143" s="14">
        <f>ROUND(Sales[[#This Row],[Mdl Land Intercept]]+Sales[[#This Row],[Mdl LnAcres]],-2)</f>
        <v>66700</v>
      </c>
      <c r="CM143" s="14">
        <f>Sales[[#This Row],[Unadj Res Value]]+Sales[[#This Row],[Unadj Det Value]]+Sales[[#This Row],[Unadj Land Value]]</f>
        <v>677100</v>
      </c>
      <c r="CN143" s="15">
        <f>Sales[[#This Row],[Unadj Total Value]]/Sales[[#This Row],[Price]]</f>
        <v>0.84637499999999999</v>
      </c>
      <c r="CO143" s="15">
        <f>(Sales[[#This Row],[Unadj Total Value]]-Sales[[#This Row],[24Final]])/Sales[[#This Row],[24Final]]</f>
        <v>-0.12677327830797008</v>
      </c>
      <c r="CP143">
        <f>VLOOKUP(Sales[[#This Row],[TNbhd]],Lookups!$M$2:$P$4,4,FALSE)</f>
        <v>0.97570000000000001</v>
      </c>
      <c r="CQ143">
        <f>VLOOKUP(Sales[[#This Row],[Qlty]],Lookups!$M$6:$P$20,4,FALSE)</f>
        <v>0.98329999999999995</v>
      </c>
      <c r="CR143">
        <f>VLOOKUP(Sales[[#This Row],[Cnd]],Lookups!$R$6:$U$15,4,FALSE)</f>
        <v>0.9748</v>
      </c>
      <c r="CS143">
        <f>VLOOKUP(Sales[[#This Row],[LivArea Range]],Lookups!$R$23:$U$39,4,FALSE)</f>
        <v>1.034</v>
      </c>
      <c r="CT143">
        <f>VLOOKUP(Sales[[#This Row],[Decade]],Lookups!$M$23:$P$35,4,FALSE)</f>
        <v>0.97289999999999999</v>
      </c>
      <c r="CU143">
        <f>Sales[[#This Row],[Nbhd Adj]]*0.95</f>
        <v>0.92691499999999993</v>
      </c>
      <c r="CV143">
        <f>Sales[[#This Row],[Nbhd Adj]]*Sales[[#This Row],[Quality Adj]]*Sales[[#This Row],[Condition Adj]]*Sales[[#This Row],[Living Area Adj]]*Sales[[#This Row],[Decade Adj]]*0.95</f>
        <v>0.8937791352738812</v>
      </c>
      <c r="CW143">
        <f>ROUND(SUM(Sales[[#This Row],[Mdl Qlty]:[Mdl GarageArea]])+Sales[[#This Row],[Mdl Res Intercept]]*Sales[[#This Row],[Res Adj ]],-2)</f>
        <v>705600</v>
      </c>
      <c r="CX143">
        <f>ROUND(Sales[[#This Row],[25Det]]*Sales[[#This Row],[Det/Nbhd Adj]],-2)</f>
        <v>25100</v>
      </c>
      <c r="CY143">
        <f>Sales[[#This Row],[Adjusted Res]]+Sales[[#This Row],[Adj Det ]]</f>
        <v>730700</v>
      </c>
      <c r="CZ143">
        <f>ROUND((Sales[[#This Row],[Mdl Land Intercept]]+Sales[[#This Row],[Mdl LnAcres]])*Sales[[#This Row],[Det/Nbhd Adj]],-2)</f>
        <v>61800</v>
      </c>
      <c r="DA143">
        <f>Sales[[#This Row],[Adjusted Impr Total]]+Sales[[#This Row],[Adjusted Land Total]]</f>
        <v>792500</v>
      </c>
      <c r="DB143">
        <f>IFERROR((Sales[[#This Row],[Adjusted Impr Total]]-Sales[[#This Row],[24Bldg]])/Sales[[#This Row],[24Bldg]],0)</f>
        <v>0.10461073318216176</v>
      </c>
      <c r="DC143">
        <f>(Sales[[#This Row],[Adjusted Land Total]]-Sales[[#This Row],[24Lnd]])/Sales[[#This Row],[24Lnd]]</f>
        <v>-0.45741878841088673</v>
      </c>
      <c r="DD143">
        <f>(Sales[[#This Row],[Adjusted Total]]-Sales[[#This Row],[24Final]])/Sales[[#This Row],[24Final]]</f>
        <v>2.2053133866391541E-2</v>
      </c>
      <c r="DE143">
        <f>(Sales[[#This Row],[Adjusted Total]]+Sales[[#This Row],[Days Prior Total]])/Sales[[#This Row],[Price]]</f>
        <v>0.8260954466124999</v>
      </c>
    </row>
    <row r="144" spans="1:109" x14ac:dyDescent="0.3">
      <c r="A144">
        <v>2025</v>
      </c>
      <c r="B144">
        <v>18131532498</v>
      </c>
      <c r="C144">
        <v>-1.3093333199837622</v>
      </c>
      <c r="D144">
        <v>0.27</v>
      </c>
      <c r="E144">
        <v>11637</v>
      </c>
      <c r="F144">
        <v>5</v>
      </c>
      <c r="G144" t="s">
        <v>89</v>
      </c>
      <c r="H144">
        <v>3041</v>
      </c>
      <c r="I144" t="s">
        <v>302</v>
      </c>
      <c r="J144" t="s">
        <v>26</v>
      </c>
      <c r="K144">
        <v>11</v>
      </c>
      <c r="L144">
        <v>259</v>
      </c>
      <c r="M144" t="s">
        <v>172</v>
      </c>
      <c r="N144" t="s">
        <v>111</v>
      </c>
      <c r="O144" t="s">
        <v>231</v>
      </c>
      <c r="P144">
        <v>1967</v>
      </c>
      <c r="Q144">
        <v>1976</v>
      </c>
      <c r="R144">
        <v>60</v>
      </c>
      <c r="S144">
        <v>57</v>
      </c>
      <c r="T144">
        <v>48</v>
      </c>
      <c r="U144">
        <v>1</v>
      </c>
      <c r="V144">
        <v>2141</v>
      </c>
      <c r="W144">
        <v>0</v>
      </c>
      <c r="X144">
        <v>0</v>
      </c>
      <c r="Y144">
        <v>705</v>
      </c>
      <c r="Z144">
        <v>705</v>
      </c>
      <c r="AA144">
        <v>0</v>
      </c>
      <c r="AB144">
        <v>2846</v>
      </c>
      <c r="AC144">
        <v>3000</v>
      </c>
      <c r="AD144">
        <v>2</v>
      </c>
      <c r="AF144" t="s">
        <v>275</v>
      </c>
      <c r="AG144" t="s">
        <v>111</v>
      </c>
      <c r="AH144" t="s">
        <v>314</v>
      </c>
      <c r="AI144">
        <v>0</v>
      </c>
      <c r="AJ144">
        <v>3</v>
      </c>
      <c r="AK144">
        <v>0</v>
      </c>
      <c r="AL144">
        <v>1</v>
      </c>
      <c r="AM144">
        <v>1</v>
      </c>
      <c r="AN144">
        <v>14</v>
      </c>
      <c r="AO144">
        <v>470</v>
      </c>
      <c r="AP144">
        <v>0</v>
      </c>
      <c r="AQ144">
        <v>470</v>
      </c>
      <c r="AR144">
        <v>0</v>
      </c>
      <c r="AS144">
        <v>0</v>
      </c>
      <c r="AT144">
        <v>252</v>
      </c>
      <c r="AU144">
        <v>0</v>
      </c>
      <c r="AV144">
        <v>100</v>
      </c>
      <c r="AW144">
        <v>100</v>
      </c>
      <c r="AX144">
        <v>517018</v>
      </c>
      <c r="AY144">
        <v>382593</v>
      </c>
      <c r="AZ144">
        <v>805</v>
      </c>
      <c r="BA144">
        <v>365</v>
      </c>
      <c r="BB144">
        <v>365</v>
      </c>
      <c r="BC144">
        <v>75</v>
      </c>
      <c r="BD144" s="6">
        <v>44487</v>
      </c>
      <c r="BE144" t="s">
        <v>208</v>
      </c>
      <c r="BF144">
        <v>475000</v>
      </c>
      <c r="BG144">
        <v>475000</v>
      </c>
      <c r="BH144" t="s">
        <v>198</v>
      </c>
      <c r="BI144">
        <v>30</v>
      </c>
      <c r="BJ144" t="s">
        <v>51</v>
      </c>
      <c r="BK144" t="s">
        <v>314</v>
      </c>
      <c r="BL144">
        <v>458100</v>
      </c>
      <c r="BM144">
        <v>86200</v>
      </c>
      <c r="BN144">
        <v>371900</v>
      </c>
      <c r="BO144">
        <v>0</v>
      </c>
      <c r="BP144">
        <v>0.96442105263157896</v>
      </c>
      <c r="BQ144">
        <v>501590.00328727439</v>
      </c>
      <c r="BR144">
        <v>547735.31406966504</v>
      </c>
      <c r="BS144" s="7">
        <f>(BR144-BL144)/BL144</f>
        <v>0.19566757055154996</v>
      </c>
      <c r="BT144" s="14">
        <f>(Sales[[#This Row],[DP1]]*Lookups!$B$51)+(Sales[[#This Row],[DP2]]*Lookups!$B$52)+(Sales[[#This Row],[DP3]]*Lookups!$B$53)</f>
        <v>-46145.32071</v>
      </c>
      <c r="BU144" s="14">
        <f>Lookups!$B$48*0.5</f>
        <v>87214.824999999997</v>
      </c>
      <c r="BV144" s="14">
        <f>Lookups!$B$48*0.5</f>
        <v>87214.824999999997</v>
      </c>
      <c r="BW144" s="14">
        <f>Lookups!$B$49*Sales[[#This Row],[LnAcres]]</f>
        <v>-32769.792695222328</v>
      </c>
      <c r="BX144" s="14">
        <f>VLOOKUP(Sales[[#This Row],[Qlty]],Lookups!$A$54:$E$67,2,FALSE)</f>
        <v>-14329.694740000001</v>
      </c>
      <c r="BY144" s="14">
        <f>VLOOKUP(Sales[[#This Row],[Cnd]],Lookups!$A$68:$E$76,2,FALSE)</f>
        <v>0</v>
      </c>
      <c r="BZ144" s="14">
        <f>Sales[[#This Row],[Age]]*Lookups!$B$77</f>
        <v>10517.20851</v>
      </c>
      <c r="CA144" s="14">
        <f>Sales[[#This Row],[MainFn]]*Lookups!$B$78</f>
        <v>147907.685719</v>
      </c>
      <c r="CB144" s="14">
        <f>Sales[[#This Row],[UpprFn]]*Lookups!$B$79</f>
        <v>0</v>
      </c>
      <c r="CC144" s="14">
        <f>Sales[[#This Row],[AddFn]]*Lookups!$B$80</f>
        <v>0</v>
      </c>
      <c r="CD144" s="14">
        <f>Sales[[#This Row],[Bsmt]]*Lookups!$B$81</f>
        <v>20169.103889999999</v>
      </c>
      <c r="CE144" s="14">
        <f>Sales[[#This Row],[Fixtures]]*Lookups!$B$84</f>
        <v>142171.4</v>
      </c>
      <c r="CF144" s="14">
        <f>Sales[[#This Row],[MsnryFP]]*Lookups!$B$82</f>
        <v>75820.869000000006</v>
      </c>
      <c r="CG144" s="14">
        <f>Sales[[#This Row],[PrefabFP]]*Lookups!$B$83</f>
        <v>0</v>
      </c>
      <c r="CH144" s="14">
        <f>Sales[[#This Row],[GarageArea]]*Lookups!$B$85</f>
        <v>23818.89359</v>
      </c>
      <c r="CI144" s="14">
        <f>SUM(Sales[[#This Row],[Days Prior Total]:[Mdl GarageArea]])</f>
        <v>501590.00256377767</v>
      </c>
      <c r="CJ144" s="14">
        <f>ROUND(Sales[[#This Row],[25Det]],-2)</f>
        <v>0</v>
      </c>
      <c r="CK144" s="14">
        <f>ROUND(SUM(Sales[[#This Row],[Mdl Qlty]:[Mdl GarageArea]])+Sales[[#This Row],[Mdl Res Intercept]]+Sales[[#This Row],[Days Prior Total]],-2)</f>
        <v>447100</v>
      </c>
      <c r="CL144" s="14">
        <f>ROUND(Sales[[#This Row],[Mdl Land Intercept]]+Sales[[#This Row],[Mdl LnAcres]],-2)</f>
        <v>54400</v>
      </c>
      <c r="CM144" s="14">
        <f>Sales[[#This Row],[Unadj Res Value]]+Sales[[#This Row],[Unadj Det Value]]+Sales[[#This Row],[Unadj Land Value]]</f>
        <v>501500</v>
      </c>
      <c r="CN144" s="15">
        <f>Sales[[#This Row],[Unadj Total Value]]/Sales[[#This Row],[Price]]</f>
        <v>1.0557894736842106</v>
      </c>
      <c r="CO144" s="15">
        <f>(Sales[[#This Row],[Unadj Total Value]]-Sales[[#This Row],[24Final]])/Sales[[#This Row],[24Final]]</f>
        <v>9.4739139925780397E-2</v>
      </c>
      <c r="CP144">
        <f>VLOOKUP(Sales[[#This Row],[TNbhd]],Lookups!$M$2:$P$4,4,FALSE)</f>
        <v>0.97570000000000001</v>
      </c>
      <c r="CQ144">
        <f>VLOOKUP(Sales[[#This Row],[Qlty]],Lookups!$M$6:$P$20,4,FALSE)</f>
        <v>0.98809999999999998</v>
      </c>
      <c r="CR144">
        <f>VLOOKUP(Sales[[#This Row],[Cnd]],Lookups!$R$6:$U$15,4,FALSE)</f>
        <v>0.9677</v>
      </c>
      <c r="CS144">
        <f>VLOOKUP(Sales[[#This Row],[LivArea Range]],Lookups!$R$23:$U$39,4,FALSE)</f>
        <v>0.93310000000000004</v>
      </c>
      <c r="CT144">
        <f>VLOOKUP(Sales[[#This Row],[Decade]],Lookups!$M$23:$P$35,4,FALSE)</f>
        <v>0.97289999999999999</v>
      </c>
      <c r="CU144">
        <f>Sales[[#This Row],[Nbhd Adj]]*0.95</f>
        <v>0.92691499999999993</v>
      </c>
      <c r="CV144">
        <f>Sales[[#This Row],[Nbhd Adj]]*Sales[[#This Row],[Quality Adj]]*Sales[[#This Row],[Condition Adj]]*Sales[[#This Row],[Living Area Adj]]*Sales[[#This Row],[Decade Adj]]*0.95</f>
        <v>0.80459613760042237</v>
      </c>
      <c r="CW144">
        <f>ROUND(SUM(Sales[[#This Row],[Mdl Qlty]:[Mdl GarageArea]])+Sales[[#This Row],[Mdl Res Intercept]]*Sales[[#This Row],[Res Adj ]],-2)</f>
        <v>476200</v>
      </c>
      <c r="CX144">
        <f>ROUND(Sales[[#This Row],[25Det]]*Sales[[#This Row],[Det/Nbhd Adj]],-2)</f>
        <v>0</v>
      </c>
      <c r="CY144">
        <f>Sales[[#This Row],[Adjusted Res]]+Sales[[#This Row],[Adj Det ]]</f>
        <v>476200</v>
      </c>
      <c r="CZ144">
        <f>ROUND((Sales[[#This Row],[Mdl Land Intercept]]+Sales[[#This Row],[Mdl LnAcres]])*Sales[[#This Row],[Det/Nbhd Adj]],-2)</f>
        <v>50500</v>
      </c>
      <c r="DA144">
        <f>Sales[[#This Row],[Adjusted Impr Total]]+Sales[[#This Row],[Adjusted Land Total]]</f>
        <v>526700</v>
      </c>
      <c r="DB144">
        <f>IFERROR((Sales[[#This Row],[Adjusted Impr Total]]-Sales[[#This Row],[24Bldg]])/Sales[[#This Row],[24Bldg]],0)</f>
        <v>0.2804517343371874</v>
      </c>
      <c r="DC144">
        <f>(Sales[[#This Row],[Adjusted Land Total]]-Sales[[#This Row],[24Lnd]])/Sales[[#This Row],[24Lnd]]</f>
        <v>-0.41415313225058004</v>
      </c>
      <c r="DD144">
        <f>(Sales[[#This Row],[Adjusted Total]]-Sales[[#This Row],[24Final]])/Sales[[#This Row],[24Final]]</f>
        <v>0.14974896310849159</v>
      </c>
      <c r="DE144">
        <f>(Sales[[#This Row],[Adjusted Total]]+Sales[[#This Row],[Days Prior Total]])/Sales[[#This Row],[Price]]</f>
        <v>1.0116940616631578</v>
      </c>
    </row>
    <row r="145" spans="1:109" x14ac:dyDescent="0.3">
      <c r="A145">
        <v>2025</v>
      </c>
      <c r="B145">
        <v>18131532462</v>
      </c>
      <c r="C145">
        <v>-1.1711829815029451</v>
      </c>
      <c r="D145">
        <v>0.31</v>
      </c>
      <c r="E145">
        <v>13636</v>
      </c>
      <c r="F145">
        <v>5</v>
      </c>
      <c r="G145" t="s">
        <v>89</v>
      </c>
      <c r="H145">
        <v>3041</v>
      </c>
      <c r="I145" t="s">
        <v>302</v>
      </c>
      <c r="J145" t="s">
        <v>26</v>
      </c>
      <c r="K145">
        <v>11</v>
      </c>
      <c r="L145">
        <v>259</v>
      </c>
      <c r="M145" t="s">
        <v>172</v>
      </c>
      <c r="N145" t="s">
        <v>75</v>
      </c>
      <c r="O145" t="s">
        <v>231</v>
      </c>
      <c r="P145">
        <v>1967</v>
      </c>
      <c r="Q145">
        <v>1976</v>
      </c>
      <c r="R145">
        <v>60</v>
      </c>
      <c r="S145">
        <v>57</v>
      </c>
      <c r="T145">
        <v>48</v>
      </c>
      <c r="U145">
        <v>1</v>
      </c>
      <c r="V145">
        <v>2361</v>
      </c>
      <c r="W145">
        <v>0</v>
      </c>
      <c r="X145">
        <v>0</v>
      </c>
      <c r="Y145">
        <v>1050</v>
      </c>
      <c r="Z145">
        <v>1050</v>
      </c>
      <c r="AA145">
        <v>0</v>
      </c>
      <c r="AB145">
        <v>3411</v>
      </c>
      <c r="AC145">
        <v>3500</v>
      </c>
      <c r="AD145">
        <v>2</v>
      </c>
      <c r="AE145" t="s">
        <v>5</v>
      </c>
      <c r="AF145" t="s">
        <v>275</v>
      </c>
      <c r="AG145" t="s">
        <v>111</v>
      </c>
      <c r="AH145" t="s">
        <v>314</v>
      </c>
      <c r="AI145">
        <v>0</v>
      </c>
      <c r="AJ145">
        <v>2</v>
      </c>
      <c r="AK145">
        <v>0</v>
      </c>
      <c r="AL145">
        <v>1</v>
      </c>
      <c r="AM145">
        <v>1</v>
      </c>
      <c r="AN145">
        <v>14</v>
      </c>
      <c r="AO145">
        <v>541</v>
      </c>
      <c r="AP145">
        <v>0</v>
      </c>
      <c r="AQ145">
        <v>541</v>
      </c>
      <c r="AR145">
        <v>0</v>
      </c>
      <c r="AS145">
        <v>0</v>
      </c>
      <c r="AT145">
        <v>510</v>
      </c>
      <c r="AU145">
        <v>0</v>
      </c>
      <c r="AV145">
        <v>100</v>
      </c>
      <c r="AW145">
        <v>100</v>
      </c>
      <c r="AX145">
        <v>645317</v>
      </c>
      <c r="AY145">
        <v>490441</v>
      </c>
      <c r="AZ145">
        <v>965</v>
      </c>
      <c r="BA145">
        <v>365</v>
      </c>
      <c r="BB145">
        <v>365</v>
      </c>
      <c r="BC145">
        <v>235</v>
      </c>
      <c r="BD145" s="6">
        <v>44327</v>
      </c>
      <c r="BE145" t="s">
        <v>115</v>
      </c>
      <c r="BF145">
        <v>479000</v>
      </c>
      <c r="BG145">
        <v>453329</v>
      </c>
      <c r="BH145" t="s">
        <v>198</v>
      </c>
      <c r="BI145">
        <v>30</v>
      </c>
      <c r="BJ145" t="s">
        <v>51</v>
      </c>
      <c r="BK145" t="s">
        <v>314</v>
      </c>
      <c r="BL145">
        <v>576000</v>
      </c>
      <c r="BM145">
        <v>94000</v>
      </c>
      <c r="BN145">
        <v>482000</v>
      </c>
      <c r="BO145">
        <v>25671</v>
      </c>
      <c r="BP145">
        <v>1.2025052192066805</v>
      </c>
      <c r="BQ145">
        <v>492585.88441262429</v>
      </c>
      <c r="BR145">
        <v>588104.96291064122</v>
      </c>
      <c r="BS145" s="7">
        <f>(BR145-BL145)/BL145</f>
        <v>2.1015560608752114E-2</v>
      </c>
      <c r="BT145" s="14">
        <f>(Sales[[#This Row],[DP1]]*Lookups!$B$51)+(Sales[[#This Row],[DP2]]*Lookups!$B$52)+(Sales[[#This Row],[DP3]]*Lookups!$B$53)</f>
        <v>-95519.080710000009</v>
      </c>
      <c r="BU145" s="14">
        <f>Lookups!$B$48*0.5</f>
        <v>87214.824999999997</v>
      </c>
      <c r="BV145" s="14">
        <f>Lookups!$B$48*0.5</f>
        <v>87214.824999999997</v>
      </c>
      <c r="BW145" s="14">
        <f>Lookups!$B$49*Sales[[#This Row],[LnAcres]]</f>
        <v>-29312.187298876561</v>
      </c>
      <c r="BX145" s="14">
        <f>VLOOKUP(Sales[[#This Row],[Qlty]],Lookups!$A$54:$E$67,2,FALSE)</f>
        <v>19189.450408000001</v>
      </c>
      <c r="BY145" s="14">
        <f>VLOOKUP(Sales[[#This Row],[Cnd]],Lookups!$A$68:$E$76,2,FALSE)</f>
        <v>0</v>
      </c>
      <c r="BZ145" s="14">
        <f>Sales[[#This Row],[Age]]*Lookups!$B$77</f>
        <v>10517.20851</v>
      </c>
      <c r="CA145" s="14">
        <f>Sales[[#This Row],[MainFn]]*Lookups!$B$78</f>
        <v>163106.046699</v>
      </c>
      <c r="CB145" s="14">
        <f>Sales[[#This Row],[UpprFn]]*Lookups!$B$79</f>
        <v>0</v>
      </c>
      <c r="CC145" s="14">
        <f>Sales[[#This Row],[AddFn]]*Lookups!$B$80</f>
        <v>0</v>
      </c>
      <c r="CD145" s="14">
        <f>Sales[[#This Row],[Bsmt]]*Lookups!$B$81</f>
        <v>30039.090899999999</v>
      </c>
      <c r="CE145" s="14">
        <f>Sales[[#This Row],[Fixtures]]*Lookups!$B$84</f>
        <v>142171.4</v>
      </c>
      <c r="CF145" s="14">
        <f>Sales[[#This Row],[MsnryFP]]*Lookups!$B$82</f>
        <v>50547.245999999999</v>
      </c>
      <c r="CG145" s="14">
        <f>Sales[[#This Row],[PrefabFP]]*Lookups!$B$83</f>
        <v>0</v>
      </c>
      <c r="CH145" s="14">
        <f>Sales[[#This Row],[GarageArea]]*Lookups!$B$85</f>
        <v>27417.066877000001</v>
      </c>
      <c r="CI145" s="14">
        <f>SUM(Sales[[#This Row],[Days Prior Total]:[Mdl GarageArea]])</f>
        <v>492585.89138512337</v>
      </c>
      <c r="CJ145" s="14">
        <f>ROUND(Sales[[#This Row],[25Det]],-2)</f>
        <v>25700</v>
      </c>
      <c r="CK145" s="14">
        <f>ROUND(SUM(Sales[[#This Row],[Mdl Qlty]:[Mdl GarageArea]])+Sales[[#This Row],[Mdl Res Intercept]]+Sales[[#This Row],[Days Prior Total]],-2)</f>
        <v>434700</v>
      </c>
      <c r="CL145" s="14">
        <f>ROUND(Sales[[#This Row],[Mdl Land Intercept]]+Sales[[#This Row],[Mdl LnAcres]],-2)</f>
        <v>57900</v>
      </c>
      <c r="CM145" s="14">
        <f>Sales[[#This Row],[Unadj Res Value]]+Sales[[#This Row],[Unadj Det Value]]+Sales[[#This Row],[Unadj Land Value]]</f>
        <v>518300</v>
      </c>
      <c r="CN145" s="15">
        <f>Sales[[#This Row],[Unadj Total Value]]/Sales[[#This Row],[Price]]</f>
        <v>1.0820459290187892</v>
      </c>
      <c r="CO145" s="15">
        <f>(Sales[[#This Row],[Unadj Total Value]]-Sales[[#This Row],[24Final]])/Sales[[#This Row],[24Final]]</f>
        <v>-0.10017361111111112</v>
      </c>
      <c r="CP145">
        <f>VLOOKUP(Sales[[#This Row],[TNbhd]],Lookups!$M$2:$P$4,4,FALSE)</f>
        <v>0.97570000000000001</v>
      </c>
      <c r="CQ145">
        <f>VLOOKUP(Sales[[#This Row],[Qlty]],Lookups!$M$6:$P$20,4,FALSE)</f>
        <v>0.9819</v>
      </c>
      <c r="CR145">
        <f>VLOOKUP(Sales[[#This Row],[Cnd]],Lookups!$R$6:$U$15,4,FALSE)</f>
        <v>0.9677</v>
      </c>
      <c r="CS145">
        <f>VLOOKUP(Sales[[#This Row],[LivArea Range]],Lookups!$R$23:$U$39,4,FALSE)</f>
        <v>0.99619999999999997</v>
      </c>
      <c r="CT145">
        <f>VLOOKUP(Sales[[#This Row],[Decade]],Lookups!$M$23:$P$35,4,FALSE)</f>
        <v>0.97289999999999999</v>
      </c>
      <c r="CU145">
        <f>Sales[[#This Row],[Nbhd Adj]]*0.95</f>
        <v>0.92691499999999993</v>
      </c>
      <c r="CV145">
        <f>Sales[[#This Row],[Nbhd Adj]]*Sales[[#This Row],[Quality Adj]]*Sales[[#This Row],[Condition Adj]]*Sales[[#This Row],[Living Area Adj]]*Sales[[#This Row],[Decade Adj]]*0.95</f>
        <v>0.85361620702425445</v>
      </c>
      <c r="CW145">
        <f>ROUND(SUM(Sales[[#This Row],[Mdl Qlty]:[Mdl GarageArea]])+Sales[[#This Row],[Mdl Res Intercept]]*Sales[[#This Row],[Res Adj ]],-2)</f>
        <v>517400</v>
      </c>
      <c r="CX145">
        <f>ROUND(Sales[[#This Row],[25Det]]*Sales[[#This Row],[Det/Nbhd Adj]],-2)</f>
        <v>23800</v>
      </c>
      <c r="CY145">
        <f>Sales[[#This Row],[Adjusted Res]]+Sales[[#This Row],[Adj Det ]]</f>
        <v>541200</v>
      </c>
      <c r="CZ145">
        <f>ROUND((Sales[[#This Row],[Mdl Land Intercept]]+Sales[[#This Row],[Mdl LnAcres]])*Sales[[#This Row],[Det/Nbhd Adj]],-2)</f>
        <v>53700</v>
      </c>
      <c r="DA145">
        <f>Sales[[#This Row],[Adjusted Impr Total]]+Sales[[#This Row],[Adjusted Land Total]]</f>
        <v>594900</v>
      </c>
      <c r="DB145">
        <f>IFERROR((Sales[[#This Row],[Adjusted Impr Total]]-Sales[[#This Row],[24Bldg]])/Sales[[#This Row],[24Bldg]],0)</f>
        <v>0.12282157676348547</v>
      </c>
      <c r="DC145">
        <f>(Sales[[#This Row],[Adjusted Land Total]]-Sales[[#This Row],[24Lnd]])/Sales[[#This Row],[24Lnd]]</f>
        <v>-0.42872340425531913</v>
      </c>
      <c r="DD145">
        <f>(Sales[[#This Row],[Adjusted Total]]-Sales[[#This Row],[24Final]])/Sales[[#This Row],[24Final]]</f>
        <v>3.2812500000000001E-2</v>
      </c>
      <c r="DE145">
        <f>(Sales[[#This Row],[Adjusted Total]]+Sales[[#This Row],[Days Prior Total]])/Sales[[#This Row],[Price]]</f>
        <v>1.0425488920459289</v>
      </c>
    </row>
    <row r="146" spans="1:109" x14ac:dyDescent="0.3">
      <c r="A146">
        <v>2025</v>
      </c>
      <c r="B146">
        <v>18131532462</v>
      </c>
      <c r="C146">
        <v>-1.1711829815029451</v>
      </c>
      <c r="D146">
        <v>0.31</v>
      </c>
      <c r="E146">
        <v>13636</v>
      </c>
      <c r="F146">
        <v>5</v>
      </c>
      <c r="G146" t="s">
        <v>89</v>
      </c>
      <c r="H146">
        <v>3041</v>
      </c>
      <c r="I146" t="s">
        <v>302</v>
      </c>
      <c r="J146" t="s">
        <v>26</v>
      </c>
      <c r="K146">
        <v>11</v>
      </c>
      <c r="L146">
        <v>259</v>
      </c>
      <c r="M146" t="s">
        <v>172</v>
      </c>
      <c r="N146" t="s">
        <v>75</v>
      </c>
      <c r="O146" t="s">
        <v>207</v>
      </c>
      <c r="P146">
        <v>1967</v>
      </c>
      <c r="Q146">
        <v>1976</v>
      </c>
      <c r="R146">
        <v>60</v>
      </c>
      <c r="S146">
        <v>57</v>
      </c>
      <c r="T146">
        <v>48</v>
      </c>
      <c r="U146">
        <v>1</v>
      </c>
      <c r="V146">
        <v>2361</v>
      </c>
      <c r="W146">
        <v>0</v>
      </c>
      <c r="X146">
        <v>0</v>
      </c>
      <c r="Y146">
        <v>1050</v>
      </c>
      <c r="Z146">
        <v>1050</v>
      </c>
      <c r="AA146">
        <v>0</v>
      </c>
      <c r="AB146">
        <v>3411</v>
      </c>
      <c r="AC146">
        <v>3500</v>
      </c>
      <c r="AD146">
        <v>2</v>
      </c>
      <c r="AE146" t="s">
        <v>5</v>
      </c>
      <c r="AF146" t="s">
        <v>275</v>
      </c>
      <c r="AG146" t="s">
        <v>111</v>
      </c>
      <c r="AH146" t="s">
        <v>314</v>
      </c>
      <c r="AI146">
        <v>0</v>
      </c>
      <c r="AJ146">
        <v>2</v>
      </c>
      <c r="AK146">
        <v>0</v>
      </c>
      <c r="AL146">
        <v>1</v>
      </c>
      <c r="AM146">
        <v>1</v>
      </c>
      <c r="AN146">
        <v>14</v>
      </c>
      <c r="AO146">
        <v>541</v>
      </c>
      <c r="AP146">
        <v>0</v>
      </c>
      <c r="AQ146">
        <v>541</v>
      </c>
      <c r="AR146">
        <v>0</v>
      </c>
      <c r="AS146">
        <v>0</v>
      </c>
      <c r="AT146">
        <v>510</v>
      </c>
      <c r="AU146">
        <v>0</v>
      </c>
      <c r="AV146">
        <v>100</v>
      </c>
      <c r="AW146">
        <v>100</v>
      </c>
      <c r="AX146">
        <v>645317</v>
      </c>
      <c r="AY146">
        <v>529160</v>
      </c>
      <c r="AZ146">
        <v>437</v>
      </c>
      <c r="BA146">
        <v>365</v>
      </c>
      <c r="BB146">
        <v>72</v>
      </c>
      <c r="BC146">
        <v>0</v>
      </c>
      <c r="BD146" s="6">
        <v>44855</v>
      </c>
      <c r="BE146" t="s">
        <v>282</v>
      </c>
      <c r="BF146">
        <v>555000</v>
      </c>
      <c r="BG146">
        <v>529329</v>
      </c>
      <c r="BH146" t="s">
        <v>198</v>
      </c>
      <c r="BI146">
        <v>30</v>
      </c>
      <c r="BJ146" t="s">
        <v>51</v>
      </c>
      <c r="BK146" t="s">
        <v>314</v>
      </c>
      <c r="BL146">
        <v>576000</v>
      </c>
      <c r="BM146">
        <v>94000</v>
      </c>
      <c r="BN146">
        <v>482000</v>
      </c>
      <c r="BO146">
        <v>25671</v>
      </c>
      <c r="BP146">
        <v>1.0378378378378379</v>
      </c>
      <c r="BQ146">
        <v>584500.15091158915</v>
      </c>
      <c r="BR146">
        <v>635378.86000546929</v>
      </c>
      <c r="BS146" s="7">
        <f>(BR146-BL146)/BL146</f>
        <v>0.10308829862060641</v>
      </c>
      <c r="BT146" s="14">
        <f>(Sales[[#This Row],[DP1]]*Lookups!$B$51)+(Sales[[#This Row],[DP2]]*Lookups!$B$52)+(Sales[[#This Row],[DP3]]*Lookups!$B$53)</f>
        <v>-50878.722688000002</v>
      </c>
      <c r="BU146" s="14">
        <f>Lookups!$B$48*0.5</f>
        <v>87214.824999999997</v>
      </c>
      <c r="BV146" s="14">
        <f>Lookups!$B$48*0.5</f>
        <v>87214.824999999997</v>
      </c>
      <c r="BW146" s="14">
        <f>Lookups!$B$49*Sales[[#This Row],[LnAcres]]</f>
        <v>-29312.187298876561</v>
      </c>
      <c r="BX146" s="14">
        <f>VLOOKUP(Sales[[#This Row],[Qlty]],Lookups!$A$54:$E$67,2,FALSE)</f>
        <v>19189.450408000001</v>
      </c>
      <c r="BY146" s="14">
        <f>VLOOKUP(Sales[[#This Row],[Cnd]],Lookups!$A$68:$E$76,2,FALSE)</f>
        <v>47273.897095</v>
      </c>
      <c r="BZ146" s="14">
        <f>Sales[[#This Row],[Age]]*Lookups!$B$77</f>
        <v>10517.20851</v>
      </c>
      <c r="CA146" s="14">
        <f>Sales[[#This Row],[MainFn]]*Lookups!$B$78</f>
        <v>163106.046699</v>
      </c>
      <c r="CB146" s="14">
        <f>Sales[[#This Row],[UpprFn]]*Lookups!$B$79</f>
        <v>0</v>
      </c>
      <c r="CC146" s="14">
        <f>Sales[[#This Row],[AddFn]]*Lookups!$B$80</f>
        <v>0</v>
      </c>
      <c r="CD146" s="14">
        <f>Sales[[#This Row],[Bsmt]]*Lookups!$B$81</f>
        <v>30039.090899999999</v>
      </c>
      <c r="CE146" s="14">
        <f>Sales[[#This Row],[Fixtures]]*Lookups!$B$84</f>
        <v>142171.4</v>
      </c>
      <c r="CF146" s="14">
        <f>Sales[[#This Row],[MsnryFP]]*Lookups!$B$82</f>
        <v>50547.245999999999</v>
      </c>
      <c r="CG146" s="14">
        <f>Sales[[#This Row],[PrefabFP]]*Lookups!$B$83</f>
        <v>0</v>
      </c>
      <c r="CH146" s="14">
        <f>Sales[[#This Row],[GarageArea]]*Lookups!$B$85</f>
        <v>27417.066877000001</v>
      </c>
      <c r="CI146" s="14">
        <f>SUM(Sales[[#This Row],[Days Prior Total]:[Mdl GarageArea]])</f>
        <v>584500.14650212345</v>
      </c>
      <c r="CJ146" s="14">
        <f>ROUND(Sales[[#This Row],[25Det]],-2)</f>
        <v>25700</v>
      </c>
      <c r="CK146" s="14">
        <f>ROUND(SUM(Sales[[#This Row],[Mdl Qlty]:[Mdl GarageArea]])+Sales[[#This Row],[Mdl Res Intercept]]+Sales[[#This Row],[Days Prior Total]],-2)</f>
        <v>526600</v>
      </c>
      <c r="CL146" s="14">
        <f>ROUND(Sales[[#This Row],[Mdl Land Intercept]]+Sales[[#This Row],[Mdl LnAcres]],-2)</f>
        <v>57900</v>
      </c>
      <c r="CM146" s="14">
        <f>Sales[[#This Row],[Unadj Res Value]]+Sales[[#This Row],[Unadj Det Value]]+Sales[[#This Row],[Unadj Land Value]]</f>
        <v>610200</v>
      </c>
      <c r="CN146" s="15">
        <f>Sales[[#This Row],[Unadj Total Value]]/Sales[[#This Row],[Price]]</f>
        <v>1.0994594594594596</v>
      </c>
      <c r="CO146" s="15">
        <f>(Sales[[#This Row],[Unadj Total Value]]-Sales[[#This Row],[24Final]])/Sales[[#This Row],[24Final]]</f>
        <v>5.9374999999999997E-2</v>
      </c>
      <c r="CP146">
        <f>VLOOKUP(Sales[[#This Row],[TNbhd]],Lookups!$M$2:$P$4,4,FALSE)</f>
        <v>0.97570000000000001</v>
      </c>
      <c r="CQ146">
        <f>VLOOKUP(Sales[[#This Row],[Qlty]],Lookups!$M$6:$P$20,4,FALSE)</f>
        <v>0.9819</v>
      </c>
      <c r="CR146">
        <f>VLOOKUP(Sales[[#This Row],[Cnd]],Lookups!$R$6:$U$15,4,FALSE)</f>
        <v>0.97829999999999995</v>
      </c>
      <c r="CS146">
        <f>VLOOKUP(Sales[[#This Row],[LivArea Range]],Lookups!$R$23:$U$39,4,FALSE)</f>
        <v>0.99619999999999997</v>
      </c>
      <c r="CT146">
        <f>VLOOKUP(Sales[[#This Row],[Decade]],Lookups!$M$23:$P$35,4,FALSE)</f>
        <v>0.97289999999999999</v>
      </c>
      <c r="CU146">
        <f>Sales[[#This Row],[Nbhd Adj]]*0.95</f>
        <v>0.92691499999999993</v>
      </c>
      <c r="CV146">
        <f>Sales[[#This Row],[Nbhd Adj]]*Sales[[#This Row],[Quality Adj]]*Sales[[#This Row],[Condition Adj]]*Sales[[#This Row],[Living Area Adj]]*Sales[[#This Row],[Decade Adj]]*0.95</f>
        <v>0.86296655506027509</v>
      </c>
      <c r="CW146">
        <f>ROUND(SUM(Sales[[#This Row],[Mdl Qlty]:[Mdl GarageArea]])+Sales[[#This Row],[Mdl Res Intercept]]*Sales[[#This Row],[Res Adj ]],-2)</f>
        <v>565500</v>
      </c>
      <c r="CX146">
        <f>ROUND(Sales[[#This Row],[25Det]]*Sales[[#This Row],[Det/Nbhd Adj]],-2)</f>
        <v>23800</v>
      </c>
      <c r="CY146">
        <f>Sales[[#This Row],[Adjusted Res]]+Sales[[#This Row],[Adj Det ]]</f>
        <v>589300</v>
      </c>
      <c r="CZ146">
        <f>ROUND((Sales[[#This Row],[Mdl Land Intercept]]+Sales[[#This Row],[Mdl LnAcres]])*Sales[[#This Row],[Det/Nbhd Adj]],-2)</f>
        <v>53700</v>
      </c>
      <c r="DA146">
        <f>Sales[[#This Row],[Adjusted Impr Total]]+Sales[[#This Row],[Adjusted Land Total]]</f>
        <v>643000</v>
      </c>
      <c r="DB146">
        <f>IFERROR((Sales[[#This Row],[Adjusted Impr Total]]-Sales[[#This Row],[24Bldg]])/Sales[[#This Row],[24Bldg]],0)</f>
        <v>0.22261410788381741</v>
      </c>
      <c r="DC146">
        <f>(Sales[[#This Row],[Adjusted Land Total]]-Sales[[#This Row],[24Lnd]])/Sales[[#This Row],[24Lnd]]</f>
        <v>-0.42872340425531913</v>
      </c>
      <c r="DD146">
        <f>(Sales[[#This Row],[Adjusted Total]]-Sales[[#This Row],[24Final]])/Sales[[#This Row],[24Final]]</f>
        <v>0.11631944444444445</v>
      </c>
      <c r="DE146">
        <f>(Sales[[#This Row],[Adjusted Total]]+Sales[[#This Row],[Days Prior Total]])/Sales[[#This Row],[Price]]</f>
        <v>1.0668851843459459</v>
      </c>
    </row>
    <row r="147" spans="1:109" x14ac:dyDescent="0.3">
      <c r="A147">
        <v>2025</v>
      </c>
      <c r="B147">
        <v>18131923412</v>
      </c>
      <c r="C147">
        <v>0.28517894223366247</v>
      </c>
      <c r="D147">
        <v>1.33</v>
      </c>
      <c r="E147">
        <v>57817</v>
      </c>
      <c r="F147">
        <v>1</v>
      </c>
      <c r="G147" t="s">
        <v>89</v>
      </c>
      <c r="H147" t="s">
        <v>203</v>
      </c>
      <c r="I147" t="s">
        <v>302</v>
      </c>
      <c r="J147" t="s">
        <v>26</v>
      </c>
      <c r="K147">
        <v>11</v>
      </c>
      <c r="L147">
        <v>259</v>
      </c>
      <c r="M147" t="s">
        <v>131</v>
      </c>
      <c r="N147" t="s">
        <v>75</v>
      </c>
      <c r="O147" t="s">
        <v>207</v>
      </c>
      <c r="P147">
        <v>1967</v>
      </c>
      <c r="Q147">
        <v>1996</v>
      </c>
      <c r="R147">
        <v>60</v>
      </c>
      <c r="S147">
        <v>57</v>
      </c>
      <c r="T147">
        <v>28</v>
      </c>
      <c r="U147">
        <v>2</v>
      </c>
      <c r="V147">
        <v>1914</v>
      </c>
      <c r="W147">
        <v>1380</v>
      </c>
      <c r="X147">
        <v>0</v>
      </c>
      <c r="Y147">
        <v>1830</v>
      </c>
      <c r="Z147">
        <v>604</v>
      </c>
      <c r="AA147">
        <v>1226</v>
      </c>
      <c r="AB147">
        <v>3898</v>
      </c>
      <c r="AC147">
        <v>4000</v>
      </c>
      <c r="AD147">
        <v>2</v>
      </c>
      <c r="AF147" t="s">
        <v>153</v>
      </c>
      <c r="AG147" t="s">
        <v>274</v>
      </c>
      <c r="AH147" t="s">
        <v>51</v>
      </c>
      <c r="AI147">
        <v>0</v>
      </c>
      <c r="AJ147">
        <v>1</v>
      </c>
      <c r="AK147">
        <v>0</v>
      </c>
      <c r="AL147">
        <v>2</v>
      </c>
      <c r="AM147">
        <v>0</v>
      </c>
      <c r="AN147">
        <v>13</v>
      </c>
      <c r="AO147">
        <v>792</v>
      </c>
      <c r="AP147">
        <v>0</v>
      </c>
      <c r="AQ147">
        <v>792</v>
      </c>
      <c r="AR147">
        <v>0</v>
      </c>
      <c r="AS147">
        <v>0</v>
      </c>
      <c r="AT147">
        <v>84</v>
      </c>
      <c r="AU147">
        <v>84</v>
      </c>
      <c r="AV147">
        <v>100</v>
      </c>
      <c r="AW147">
        <v>100</v>
      </c>
      <c r="AX147">
        <v>713727</v>
      </c>
      <c r="AY147">
        <v>656629</v>
      </c>
      <c r="AZ147">
        <v>482</v>
      </c>
      <c r="BA147">
        <v>365</v>
      </c>
      <c r="BB147">
        <v>117</v>
      </c>
      <c r="BC147">
        <v>0</v>
      </c>
      <c r="BD147" s="6">
        <v>44810</v>
      </c>
      <c r="BE147" t="s">
        <v>265</v>
      </c>
      <c r="BF147">
        <v>725000</v>
      </c>
      <c r="BG147">
        <v>699309</v>
      </c>
      <c r="BH147" t="s">
        <v>198</v>
      </c>
      <c r="BI147">
        <v>30</v>
      </c>
      <c r="BJ147" t="s">
        <v>51</v>
      </c>
      <c r="BK147" t="s">
        <v>314</v>
      </c>
      <c r="BL147">
        <v>646600</v>
      </c>
      <c r="BM147">
        <v>176700</v>
      </c>
      <c r="BN147">
        <v>469900</v>
      </c>
      <c r="BO147">
        <v>25691</v>
      </c>
      <c r="BP147">
        <v>0.89186206896551723</v>
      </c>
      <c r="BQ147">
        <v>678391.44678266719</v>
      </c>
      <c r="BR147">
        <v>724988.65131419734</v>
      </c>
      <c r="BS147" s="7">
        <f>(BR147-BL147)/BL147</f>
        <v>0.12123206203865967</v>
      </c>
      <c r="BT147" s="14">
        <f>(Sales[[#This Row],[DP1]]*Lookups!$B$51)+(Sales[[#This Row],[DP2]]*Lookups!$B$52)+(Sales[[#This Row],[DP3]]*Lookups!$B$53)</f>
        <v>-46597.218118000004</v>
      </c>
      <c r="BU147" s="14">
        <f>Lookups!$B$48*0.5</f>
        <v>87214.824999999997</v>
      </c>
      <c r="BV147" s="14">
        <f>Lookups!$B$48*0.5</f>
        <v>87214.824999999997</v>
      </c>
      <c r="BW147" s="14">
        <f>Lookups!$B$49*Sales[[#This Row],[LnAcres]]</f>
        <v>7137.4146486670006</v>
      </c>
      <c r="BX147" s="14">
        <f>VLOOKUP(Sales[[#This Row],[Qlty]],Lookups!$A$54:$E$67,2,FALSE)</f>
        <v>19189.450408000001</v>
      </c>
      <c r="BY147" s="14">
        <f>VLOOKUP(Sales[[#This Row],[Cnd]],Lookups!$A$68:$E$76,2,FALSE)</f>
        <v>47273.897095</v>
      </c>
      <c r="BZ147" s="14">
        <f>Sales[[#This Row],[Age]]*Lookups!$B$77</f>
        <v>10517.20851</v>
      </c>
      <c r="CA147" s="14">
        <f>Sales[[#This Row],[MainFn]]*Lookups!$B$78</f>
        <v>132225.74052600001</v>
      </c>
      <c r="CB147" s="14">
        <f>Sales[[#This Row],[UpprFn]]*Lookups!$B$79</f>
        <v>84434.161500000002</v>
      </c>
      <c r="CC147" s="14">
        <f>Sales[[#This Row],[AddFn]]*Lookups!$B$80</f>
        <v>0</v>
      </c>
      <c r="CD147" s="14">
        <f>Sales[[#This Row],[Bsmt]]*Lookups!$B$81</f>
        <v>52353.844139999994</v>
      </c>
      <c r="CE147" s="14">
        <f>Sales[[#This Row],[Fixtures]]*Lookups!$B$84</f>
        <v>132016.30000000002</v>
      </c>
      <c r="CF147" s="14">
        <f>Sales[[#This Row],[MsnryFP]]*Lookups!$B$82</f>
        <v>25273.623</v>
      </c>
      <c r="CG147" s="14">
        <f>Sales[[#This Row],[PrefabFP]]*Lookups!$B$83</f>
        <v>0</v>
      </c>
      <c r="CH147" s="14">
        <f>Sales[[#This Row],[GarageArea]]*Lookups!$B$85</f>
        <v>40137.369623999999</v>
      </c>
      <c r="CI147" s="14">
        <f>SUM(Sales[[#This Row],[Days Prior Total]:[Mdl GarageArea]])</f>
        <v>678391.44133366703</v>
      </c>
      <c r="CJ147" s="14">
        <f>ROUND(Sales[[#This Row],[25Det]],-2)</f>
        <v>25700</v>
      </c>
      <c r="CK147" s="14">
        <f>ROUND(SUM(Sales[[#This Row],[Mdl Qlty]:[Mdl GarageArea]])+Sales[[#This Row],[Mdl Res Intercept]]+Sales[[#This Row],[Days Prior Total]],-2)</f>
        <v>584000</v>
      </c>
      <c r="CL147" s="14">
        <f>ROUND(Sales[[#This Row],[Mdl Land Intercept]]+Sales[[#This Row],[Mdl LnAcres]],-2)</f>
        <v>94400</v>
      </c>
      <c r="CM147" s="14">
        <f>Sales[[#This Row],[Unadj Res Value]]+Sales[[#This Row],[Unadj Det Value]]+Sales[[#This Row],[Unadj Land Value]]</f>
        <v>704100</v>
      </c>
      <c r="CN147" s="15">
        <f>Sales[[#This Row],[Unadj Total Value]]/Sales[[#This Row],[Price]]</f>
        <v>0.97117241379310348</v>
      </c>
      <c r="CO147" s="15">
        <f>(Sales[[#This Row],[Unadj Total Value]]-Sales[[#This Row],[24Final]])/Sales[[#This Row],[24Final]]</f>
        <v>8.8926693473553975E-2</v>
      </c>
      <c r="CP147">
        <f>VLOOKUP(Sales[[#This Row],[TNbhd]],Lookups!$M$2:$P$4,4,FALSE)</f>
        <v>0.97570000000000001</v>
      </c>
      <c r="CQ147">
        <f>VLOOKUP(Sales[[#This Row],[Qlty]],Lookups!$M$6:$P$20,4,FALSE)</f>
        <v>0.9819</v>
      </c>
      <c r="CR147">
        <f>VLOOKUP(Sales[[#This Row],[Cnd]],Lookups!$R$6:$U$15,4,FALSE)</f>
        <v>0.97829999999999995</v>
      </c>
      <c r="CS147">
        <f>VLOOKUP(Sales[[#This Row],[LivArea Range]],Lookups!$R$23:$U$39,4,FALSE)</f>
        <v>1.034</v>
      </c>
      <c r="CT147">
        <f>VLOOKUP(Sales[[#This Row],[Decade]],Lookups!$M$23:$P$35,4,FALSE)</f>
        <v>0.97289999999999999</v>
      </c>
      <c r="CU147">
        <f>Sales[[#This Row],[Nbhd Adj]]*0.95</f>
        <v>0.92691499999999993</v>
      </c>
      <c r="CV147">
        <f>Sales[[#This Row],[Nbhd Adj]]*Sales[[#This Row],[Quality Adj]]*Sales[[#This Row],[Condition Adj]]*Sales[[#This Row],[Living Area Adj]]*Sales[[#This Row],[Decade Adj]]*0.95</f>
        <v>0.89571112018904275</v>
      </c>
      <c r="CW147">
        <f>ROUND(SUM(Sales[[#This Row],[Mdl Qlty]:[Mdl GarageArea]])+Sales[[#This Row],[Mdl Res Intercept]]*Sales[[#This Row],[Res Adj ]],-2)</f>
        <v>621500</v>
      </c>
      <c r="CX147">
        <f>ROUND(Sales[[#This Row],[25Det]]*Sales[[#This Row],[Det/Nbhd Adj]],-2)</f>
        <v>23800</v>
      </c>
      <c r="CY147">
        <f>Sales[[#This Row],[Adjusted Res]]+Sales[[#This Row],[Adj Det ]]</f>
        <v>645300</v>
      </c>
      <c r="CZ147">
        <f>ROUND((Sales[[#This Row],[Mdl Land Intercept]]+Sales[[#This Row],[Mdl LnAcres]])*Sales[[#This Row],[Det/Nbhd Adj]],-2)</f>
        <v>87500</v>
      </c>
      <c r="DA147">
        <f>Sales[[#This Row],[Adjusted Impr Total]]+Sales[[#This Row],[Adjusted Land Total]]</f>
        <v>732800</v>
      </c>
      <c r="DB147">
        <f>IFERROR((Sales[[#This Row],[Adjusted Impr Total]]-Sales[[#This Row],[24Bldg]])/Sales[[#This Row],[24Bldg]],0)</f>
        <v>0.37327090870397955</v>
      </c>
      <c r="DC147">
        <f>(Sales[[#This Row],[Adjusted Land Total]]-Sales[[#This Row],[24Lnd]])/Sales[[#This Row],[24Lnd]]</f>
        <v>-0.50481041312959818</v>
      </c>
      <c r="DD147">
        <f>(Sales[[#This Row],[Adjusted Total]]-Sales[[#This Row],[24Final]])/Sales[[#This Row],[24Final]]</f>
        <v>0.13331271265078873</v>
      </c>
      <c r="DE147">
        <f>(Sales[[#This Row],[Adjusted Total]]+Sales[[#This Row],[Days Prior Total]])/Sales[[#This Row],[Price]]</f>
        <v>0.94648659569931037</v>
      </c>
    </row>
    <row r="148" spans="1:109" x14ac:dyDescent="0.3">
      <c r="A148">
        <v>2025</v>
      </c>
      <c r="B148">
        <v>18131523005</v>
      </c>
      <c r="C148">
        <v>-1.2039728043259361</v>
      </c>
      <c r="D148">
        <v>0.3</v>
      </c>
      <c r="E148">
        <v>13098</v>
      </c>
      <c r="F148">
        <v>5</v>
      </c>
      <c r="G148" t="s">
        <v>89</v>
      </c>
      <c r="H148">
        <v>3041</v>
      </c>
      <c r="I148" t="s">
        <v>302</v>
      </c>
      <c r="J148" t="s">
        <v>26</v>
      </c>
      <c r="K148">
        <v>11</v>
      </c>
      <c r="L148">
        <v>130</v>
      </c>
      <c r="M148" t="s">
        <v>172</v>
      </c>
      <c r="N148" t="s">
        <v>75</v>
      </c>
      <c r="O148" t="s">
        <v>258</v>
      </c>
      <c r="P148">
        <v>1967</v>
      </c>
      <c r="Q148">
        <v>1976</v>
      </c>
      <c r="R148">
        <v>60</v>
      </c>
      <c r="S148">
        <v>57</v>
      </c>
      <c r="T148">
        <v>48</v>
      </c>
      <c r="U148">
        <v>1</v>
      </c>
      <c r="V148">
        <v>2523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2523</v>
      </c>
      <c r="AC148">
        <v>3000</v>
      </c>
      <c r="AD148">
        <v>2</v>
      </c>
      <c r="AE148" t="s">
        <v>5</v>
      </c>
      <c r="AF148" t="s">
        <v>153</v>
      </c>
      <c r="AG148" t="s">
        <v>274</v>
      </c>
      <c r="AI148">
        <v>0</v>
      </c>
      <c r="AJ148">
        <v>2</v>
      </c>
      <c r="AK148">
        <v>0</v>
      </c>
      <c r="AL148">
        <v>1</v>
      </c>
      <c r="AM148">
        <v>1</v>
      </c>
      <c r="AN148">
        <v>12</v>
      </c>
      <c r="AO148">
        <v>600</v>
      </c>
      <c r="AP148">
        <v>0</v>
      </c>
      <c r="AQ148">
        <v>600</v>
      </c>
      <c r="AR148">
        <v>0</v>
      </c>
      <c r="AS148">
        <v>0</v>
      </c>
      <c r="AT148">
        <v>0</v>
      </c>
      <c r="AU148">
        <v>0</v>
      </c>
      <c r="AV148">
        <v>100</v>
      </c>
      <c r="AW148">
        <v>100</v>
      </c>
      <c r="AX148">
        <v>579905</v>
      </c>
      <c r="AY148">
        <v>492919</v>
      </c>
      <c r="AZ148">
        <v>1014</v>
      </c>
      <c r="BA148">
        <v>365</v>
      </c>
      <c r="BB148">
        <v>365</v>
      </c>
      <c r="BC148">
        <v>284</v>
      </c>
      <c r="BD148" s="6">
        <v>44278</v>
      </c>
      <c r="BE148" t="s">
        <v>310</v>
      </c>
      <c r="BF148">
        <v>523800</v>
      </c>
      <c r="BG148">
        <v>523800</v>
      </c>
      <c r="BH148" t="s">
        <v>198</v>
      </c>
      <c r="BI148">
        <v>30</v>
      </c>
      <c r="BJ148" t="s">
        <v>51</v>
      </c>
      <c r="BK148" t="s">
        <v>314</v>
      </c>
      <c r="BL148">
        <v>604000</v>
      </c>
      <c r="BM148">
        <v>92100</v>
      </c>
      <c r="BN148">
        <v>511900</v>
      </c>
      <c r="BO148">
        <v>0</v>
      </c>
      <c r="BP148">
        <v>1.1531118747613593</v>
      </c>
      <c r="BQ148">
        <v>547034.15957791836</v>
      </c>
      <c r="BR148">
        <v>657673.95443884586</v>
      </c>
      <c r="BS148" s="7">
        <f>(BR148-BL148)/BL148</f>
        <v>8.8864162978221625E-2</v>
      </c>
      <c r="BT148" s="14">
        <f>(Sales[[#This Row],[DP1]]*Lookups!$B$51)+(Sales[[#This Row],[DP2]]*Lookups!$B$52)+(Sales[[#This Row],[DP3]]*Lookups!$B$53)</f>
        <v>-110639.79471</v>
      </c>
      <c r="BU148" s="14">
        <f>Lookups!$B$48*0.5</f>
        <v>87214.824999999997</v>
      </c>
      <c r="BV148" s="14">
        <f>Lookups!$B$48*0.5</f>
        <v>87214.824999999997</v>
      </c>
      <c r="BW148" s="14">
        <f>Lookups!$B$49*Sales[[#This Row],[LnAcres]]</f>
        <v>-30132.845934857665</v>
      </c>
      <c r="BX148" s="14">
        <f>VLOOKUP(Sales[[#This Row],[Qlty]],Lookups!$A$54:$E$67,2,FALSE)</f>
        <v>19189.450408000001</v>
      </c>
      <c r="BY148" s="14">
        <f>VLOOKUP(Sales[[#This Row],[Cnd]],Lookups!$A$68:$E$76,2,FALSE)</f>
        <v>106557.38887</v>
      </c>
      <c r="BZ148" s="14">
        <f>Sales[[#This Row],[Age]]*Lookups!$B$77</f>
        <v>10517.20851</v>
      </c>
      <c r="CA148" s="14">
        <f>Sales[[#This Row],[MainFn]]*Lookups!$B$78</f>
        <v>174297.56705700001</v>
      </c>
      <c r="CB148" s="14">
        <f>Sales[[#This Row],[UpprFn]]*Lookups!$B$79</f>
        <v>0</v>
      </c>
      <c r="CC148" s="14">
        <f>Sales[[#This Row],[AddFn]]*Lookups!$B$80</f>
        <v>0</v>
      </c>
      <c r="CD148" s="14">
        <f>Sales[[#This Row],[Bsmt]]*Lookups!$B$81</f>
        <v>0</v>
      </c>
      <c r="CE148" s="14">
        <f>Sales[[#This Row],[Fixtures]]*Lookups!$B$84</f>
        <v>121861.20000000001</v>
      </c>
      <c r="CF148" s="14">
        <f>Sales[[#This Row],[MsnryFP]]*Lookups!$B$82</f>
        <v>50547.245999999999</v>
      </c>
      <c r="CG148" s="14">
        <f>Sales[[#This Row],[PrefabFP]]*Lookups!$B$83</f>
        <v>0</v>
      </c>
      <c r="CH148" s="14">
        <f>Sales[[#This Row],[GarageArea]]*Lookups!$B$85</f>
        <v>30407.0982</v>
      </c>
      <c r="CI148" s="14">
        <f>SUM(Sales[[#This Row],[Days Prior Total]:[Mdl GarageArea]])</f>
        <v>547034.16840014234</v>
      </c>
      <c r="CJ148" s="14">
        <f>ROUND(Sales[[#This Row],[25Det]],-2)</f>
        <v>0</v>
      </c>
      <c r="CK148" s="14">
        <f>ROUND(SUM(Sales[[#This Row],[Mdl Qlty]:[Mdl GarageArea]])+Sales[[#This Row],[Mdl Res Intercept]]+Sales[[#This Row],[Days Prior Total]],-2)</f>
        <v>490000</v>
      </c>
      <c r="CL148" s="14">
        <f>ROUND(Sales[[#This Row],[Mdl Land Intercept]]+Sales[[#This Row],[Mdl LnAcres]],-2)</f>
        <v>57100</v>
      </c>
      <c r="CM148" s="14">
        <f>Sales[[#This Row],[Unadj Res Value]]+Sales[[#This Row],[Unadj Det Value]]+Sales[[#This Row],[Unadj Land Value]]</f>
        <v>547100</v>
      </c>
      <c r="CN148" s="15">
        <f>Sales[[#This Row],[Unadj Total Value]]/Sales[[#This Row],[Price]]</f>
        <v>1.0444826269568537</v>
      </c>
      <c r="CO148" s="15">
        <f>(Sales[[#This Row],[Unadj Total Value]]-Sales[[#This Row],[24Final]])/Sales[[#This Row],[24Final]]</f>
        <v>-9.4205298013245037E-2</v>
      </c>
      <c r="CP148">
        <f>VLOOKUP(Sales[[#This Row],[TNbhd]],Lookups!$M$2:$P$4,4,FALSE)</f>
        <v>0.97570000000000001</v>
      </c>
      <c r="CQ148">
        <f>VLOOKUP(Sales[[#This Row],[Qlty]],Lookups!$M$6:$P$20,4,FALSE)</f>
        <v>0.9819</v>
      </c>
      <c r="CR148">
        <f>VLOOKUP(Sales[[#This Row],[Cnd]],Lookups!$R$6:$U$15,4,FALSE)</f>
        <v>0.9748</v>
      </c>
      <c r="CS148">
        <f>VLOOKUP(Sales[[#This Row],[LivArea Range]],Lookups!$R$23:$U$39,4,FALSE)</f>
        <v>0.93310000000000004</v>
      </c>
      <c r="CT148">
        <f>VLOOKUP(Sales[[#This Row],[Decade]],Lookups!$M$23:$P$35,4,FALSE)</f>
        <v>0.97289999999999999</v>
      </c>
      <c r="CU148">
        <f>Sales[[#This Row],[Nbhd Adj]]*0.95</f>
        <v>0.92691499999999993</v>
      </c>
      <c r="CV148">
        <f>Sales[[#This Row],[Nbhd Adj]]*Sales[[#This Row],[Quality Adj]]*Sales[[#This Row],[Condition Adj]]*Sales[[#This Row],[Living Area Adj]]*Sales[[#This Row],[Decade Adj]]*0.95</f>
        <v>0.80541383167830538</v>
      </c>
      <c r="CW148">
        <f>ROUND(SUM(Sales[[#This Row],[Mdl Qlty]:[Mdl GarageArea]])+Sales[[#This Row],[Mdl Res Intercept]]*Sales[[#This Row],[Res Adj ]],-2)</f>
        <v>583600</v>
      </c>
      <c r="CX148">
        <f>ROUND(Sales[[#This Row],[25Det]]*Sales[[#This Row],[Det/Nbhd Adj]],-2)</f>
        <v>0</v>
      </c>
      <c r="CY148">
        <f>Sales[[#This Row],[Adjusted Res]]+Sales[[#This Row],[Adj Det ]]</f>
        <v>583600</v>
      </c>
      <c r="CZ148">
        <f>ROUND((Sales[[#This Row],[Mdl Land Intercept]]+Sales[[#This Row],[Mdl LnAcres]])*Sales[[#This Row],[Det/Nbhd Adj]],-2)</f>
        <v>52900</v>
      </c>
      <c r="DA148">
        <f>Sales[[#This Row],[Adjusted Impr Total]]+Sales[[#This Row],[Adjusted Land Total]]</f>
        <v>636500</v>
      </c>
      <c r="DB148">
        <f>IFERROR((Sales[[#This Row],[Adjusted Impr Total]]-Sales[[#This Row],[24Bldg]])/Sales[[#This Row],[24Bldg]],0)</f>
        <v>0.1400664192225044</v>
      </c>
      <c r="DC148">
        <f>(Sales[[#This Row],[Adjusted Land Total]]-Sales[[#This Row],[24Lnd]])/Sales[[#This Row],[24Lnd]]</f>
        <v>-0.42562432138979372</v>
      </c>
      <c r="DD148">
        <f>(Sales[[#This Row],[Adjusted Total]]-Sales[[#This Row],[24Final]])/Sales[[#This Row],[24Final]]</f>
        <v>5.3807947019867547E-2</v>
      </c>
      <c r="DE148">
        <f>(Sales[[#This Row],[Adjusted Total]]+Sales[[#This Row],[Days Prior Total]])/Sales[[#This Row],[Price]]</f>
        <v>1.0039331907025582</v>
      </c>
    </row>
    <row r="149" spans="1:109" x14ac:dyDescent="0.3">
      <c r="A149">
        <v>2025</v>
      </c>
      <c r="B149">
        <v>18131533414</v>
      </c>
      <c r="C149">
        <v>-1.6094379124341003</v>
      </c>
      <c r="D149">
        <v>0.2</v>
      </c>
      <c r="E149">
        <v>8756</v>
      </c>
      <c r="F149">
        <v>5</v>
      </c>
      <c r="G149" t="s">
        <v>89</v>
      </c>
      <c r="H149">
        <v>3042</v>
      </c>
      <c r="I149" t="s">
        <v>302</v>
      </c>
      <c r="J149" t="s">
        <v>26</v>
      </c>
      <c r="K149">
        <v>11</v>
      </c>
      <c r="L149">
        <v>259</v>
      </c>
      <c r="M149" t="s">
        <v>172</v>
      </c>
      <c r="N149" t="s">
        <v>257</v>
      </c>
      <c r="O149" t="s">
        <v>207</v>
      </c>
      <c r="P149">
        <v>1966</v>
      </c>
      <c r="Q149">
        <v>1976</v>
      </c>
      <c r="R149">
        <v>60</v>
      </c>
      <c r="S149">
        <v>58</v>
      </c>
      <c r="T149">
        <v>48</v>
      </c>
      <c r="U149">
        <v>1</v>
      </c>
      <c r="V149">
        <v>1586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1586</v>
      </c>
      <c r="AC149">
        <v>2000</v>
      </c>
      <c r="AD149">
        <v>1</v>
      </c>
      <c r="AE149" t="s">
        <v>5</v>
      </c>
      <c r="AF149" t="s">
        <v>275</v>
      </c>
      <c r="AG149" t="s">
        <v>111</v>
      </c>
      <c r="AH149" t="s">
        <v>314</v>
      </c>
      <c r="AI149">
        <v>0</v>
      </c>
      <c r="AJ149">
        <v>1</v>
      </c>
      <c r="AK149">
        <v>0</v>
      </c>
      <c r="AL149">
        <v>0</v>
      </c>
      <c r="AM149">
        <v>1</v>
      </c>
      <c r="AN149">
        <v>7</v>
      </c>
      <c r="AO149">
        <v>336</v>
      </c>
      <c r="AP149">
        <v>0</v>
      </c>
      <c r="AQ149">
        <v>336</v>
      </c>
      <c r="AR149">
        <v>0</v>
      </c>
      <c r="AS149">
        <v>0</v>
      </c>
      <c r="AT149">
        <v>192</v>
      </c>
      <c r="AU149">
        <v>312</v>
      </c>
      <c r="AV149">
        <v>100</v>
      </c>
      <c r="AW149">
        <v>100</v>
      </c>
      <c r="AX149">
        <v>244556</v>
      </c>
      <c r="AY149">
        <v>198090</v>
      </c>
      <c r="AZ149">
        <v>1053</v>
      </c>
      <c r="BA149">
        <v>365</v>
      </c>
      <c r="BB149">
        <v>365</v>
      </c>
      <c r="BC149">
        <v>323</v>
      </c>
      <c r="BD149" s="6">
        <v>44239</v>
      </c>
      <c r="BE149" t="s">
        <v>304</v>
      </c>
      <c r="BF149">
        <v>320000</v>
      </c>
      <c r="BG149">
        <v>320000</v>
      </c>
      <c r="BH149" t="s">
        <v>198</v>
      </c>
      <c r="BI149">
        <v>30</v>
      </c>
      <c r="BJ149" t="s">
        <v>51</v>
      </c>
      <c r="BK149" t="s">
        <v>314</v>
      </c>
      <c r="BL149">
        <v>363500</v>
      </c>
      <c r="BM149">
        <v>69100</v>
      </c>
      <c r="BN149">
        <v>294400</v>
      </c>
      <c r="BO149">
        <v>0</v>
      </c>
      <c r="BP149">
        <v>1.1359375</v>
      </c>
      <c r="BQ149">
        <v>292403.5106588442</v>
      </c>
      <c r="BR149">
        <v>415078.16140045575</v>
      </c>
      <c r="BS149" s="7">
        <f>(BR149-BL149)/BL149</f>
        <v>0.14189315378392228</v>
      </c>
      <c r="BT149" s="14">
        <f>(Sales[[#This Row],[DP1]]*Lookups!$B$51)+(Sales[[#This Row],[DP2]]*Lookups!$B$52)+(Sales[[#This Row],[DP3]]*Lookups!$B$53)</f>
        <v>-122674.64871000001</v>
      </c>
      <c r="BU149" s="14">
        <f>Lookups!$B$48*0.5</f>
        <v>87214.824999999997</v>
      </c>
      <c r="BV149" s="14">
        <f>Lookups!$B$48*0.5</f>
        <v>87214.824999999997</v>
      </c>
      <c r="BW149" s="14">
        <f>Lookups!$B$49*Sales[[#This Row],[LnAcres]]</f>
        <v>-40280.764218962147</v>
      </c>
      <c r="BX149" s="14">
        <f>VLOOKUP(Sales[[#This Row],[Qlty]],Lookups!$A$54:$E$67,2,FALSE)</f>
        <v>0</v>
      </c>
      <c r="BY149" s="14">
        <f>VLOOKUP(Sales[[#This Row],[Cnd]],Lookups!$A$68:$E$76,2,FALSE)</f>
        <v>47273.897095</v>
      </c>
      <c r="BZ149" s="14">
        <f>Sales[[#This Row],[Age]]*Lookups!$B$77</f>
        <v>10701.720939999999</v>
      </c>
      <c r="CA149" s="14">
        <f>Sales[[#This Row],[MainFn]]*Lookups!$B$78</f>
        <v>109566.36597400001</v>
      </c>
      <c r="CB149" s="14">
        <f>Sales[[#This Row],[UpprFn]]*Lookups!$B$79</f>
        <v>0</v>
      </c>
      <c r="CC149" s="14">
        <f>Sales[[#This Row],[AddFn]]*Lookups!$B$80</f>
        <v>0</v>
      </c>
      <c r="CD149" s="14">
        <f>Sales[[#This Row],[Bsmt]]*Lookups!$B$81</f>
        <v>0</v>
      </c>
      <c r="CE149" s="14">
        <f>Sales[[#This Row],[Fixtures]]*Lookups!$B$84</f>
        <v>71085.7</v>
      </c>
      <c r="CF149" s="14">
        <f>Sales[[#This Row],[MsnryFP]]*Lookups!$B$82</f>
        <v>25273.623</v>
      </c>
      <c r="CG149" s="14">
        <f>Sales[[#This Row],[PrefabFP]]*Lookups!$B$83</f>
        <v>0</v>
      </c>
      <c r="CH149" s="14">
        <f>Sales[[#This Row],[GarageArea]]*Lookups!$B$85</f>
        <v>17027.974991999999</v>
      </c>
      <c r="CI149" s="14">
        <f>SUM(Sales[[#This Row],[Days Prior Total]:[Mdl GarageArea]])</f>
        <v>292403.51907203783</v>
      </c>
      <c r="CJ149" s="14">
        <f>ROUND(Sales[[#This Row],[25Det]],-2)</f>
        <v>0</v>
      </c>
      <c r="CK149" s="14">
        <f>ROUND(SUM(Sales[[#This Row],[Mdl Qlty]:[Mdl GarageArea]])+Sales[[#This Row],[Mdl Res Intercept]]+Sales[[#This Row],[Days Prior Total]],-2)</f>
        <v>245500</v>
      </c>
      <c r="CL149" s="14">
        <f>ROUND(Sales[[#This Row],[Mdl Land Intercept]]+Sales[[#This Row],[Mdl LnAcres]],-2)</f>
        <v>46900</v>
      </c>
      <c r="CM149" s="14">
        <f>Sales[[#This Row],[Unadj Res Value]]+Sales[[#This Row],[Unadj Det Value]]+Sales[[#This Row],[Unadj Land Value]]</f>
        <v>292400</v>
      </c>
      <c r="CN149" s="15">
        <f>Sales[[#This Row],[Unadj Total Value]]/Sales[[#This Row],[Price]]</f>
        <v>0.91374999999999995</v>
      </c>
      <c r="CO149" s="15">
        <f>(Sales[[#This Row],[Unadj Total Value]]-Sales[[#This Row],[24Final]])/Sales[[#This Row],[24Final]]</f>
        <v>-0.19559834938101789</v>
      </c>
      <c r="CP149">
        <f>VLOOKUP(Sales[[#This Row],[TNbhd]],Lookups!$M$2:$P$4,4,FALSE)</f>
        <v>0.97570000000000001</v>
      </c>
      <c r="CQ149">
        <f>VLOOKUP(Sales[[#This Row],[Qlty]],Lookups!$M$6:$P$20,4,FALSE)</f>
        <v>1.0046999999999999</v>
      </c>
      <c r="CR149">
        <f>VLOOKUP(Sales[[#This Row],[Cnd]],Lookups!$R$6:$U$15,4,FALSE)</f>
        <v>0.97829999999999995</v>
      </c>
      <c r="CS149">
        <f>VLOOKUP(Sales[[#This Row],[LivArea Range]],Lookups!$R$23:$U$39,4,FALSE)</f>
        <v>0.99099999999999999</v>
      </c>
      <c r="CT149">
        <f>VLOOKUP(Sales[[#This Row],[Decade]],Lookups!$M$23:$P$35,4,FALSE)</f>
        <v>0.97289999999999999</v>
      </c>
      <c r="CU149">
        <f>Sales[[#This Row],[Nbhd Adj]]*0.95</f>
        <v>0.92691499999999993</v>
      </c>
      <c r="CV149">
        <f>Sales[[#This Row],[Nbhd Adj]]*Sales[[#This Row],[Quality Adj]]*Sales[[#This Row],[Condition Adj]]*Sales[[#This Row],[Living Area Adj]]*Sales[[#This Row],[Decade Adj]]*0.95</f>
        <v>0.87839574616993676</v>
      </c>
      <c r="CW149">
        <f>ROUND(SUM(Sales[[#This Row],[Mdl Qlty]:[Mdl GarageArea]])+Sales[[#This Row],[Mdl Res Intercept]]*Sales[[#This Row],[Res Adj ]],-2)</f>
        <v>357500</v>
      </c>
      <c r="CX149">
        <f>ROUND(Sales[[#This Row],[25Det]]*Sales[[#This Row],[Det/Nbhd Adj]],-2)</f>
        <v>0</v>
      </c>
      <c r="CY149">
        <f>Sales[[#This Row],[Adjusted Res]]+Sales[[#This Row],[Adj Det ]]</f>
        <v>357500</v>
      </c>
      <c r="CZ149">
        <f>ROUND((Sales[[#This Row],[Mdl Land Intercept]]+Sales[[#This Row],[Mdl LnAcres]])*Sales[[#This Row],[Det/Nbhd Adj]],-2)</f>
        <v>43500</v>
      </c>
      <c r="DA149">
        <f>Sales[[#This Row],[Adjusted Impr Total]]+Sales[[#This Row],[Adjusted Land Total]]</f>
        <v>401000</v>
      </c>
      <c r="DB149">
        <f>IFERROR((Sales[[#This Row],[Adjusted Impr Total]]-Sales[[#This Row],[24Bldg]])/Sales[[#This Row],[24Bldg]],0)</f>
        <v>0.21433423913043478</v>
      </c>
      <c r="DC149">
        <f>(Sales[[#This Row],[Adjusted Land Total]]-Sales[[#This Row],[24Lnd]])/Sales[[#This Row],[24Lnd]]</f>
        <v>-0.37047756874095511</v>
      </c>
      <c r="DD149">
        <f>(Sales[[#This Row],[Adjusted Total]]-Sales[[#This Row],[24Final]])/Sales[[#This Row],[24Final]]</f>
        <v>0.1031636863823934</v>
      </c>
      <c r="DE149">
        <f>(Sales[[#This Row],[Adjusted Total]]+Sales[[#This Row],[Days Prior Total]])/Sales[[#This Row],[Price]]</f>
        <v>0.86976672278125011</v>
      </c>
    </row>
    <row r="150" spans="1:109" x14ac:dyDescent="0.3">
      <c r="A150">
        <v>2025</v>
      </c>
      <c r="B150">
        <v>18131634438</v>
      </c>
      <c r="C150">
        <v>-1.0216512475319814</v>
      </c>
      <c r="D150">
        <v>0.36</v>
      </c>
      <c r="E150">
        <v>15887</v>
      </c>
      <c r="F150">
        <v>5</v>
      </c>
      <c r="G150" t="s">
        <v>89</v>
      </c>
      <c r="H150">
        <v>3041</v>
      </c>
      <c r="I150" t="s">
        <v>302</v>
      </c>
      <c r="J150" t="s">
        <v>26</v>
      </c>
      <c r="K150">
        <v>11</v>
      </c>
      <c r="L150">
        <v>259</v>
      </c>
      <c r="M150" t="s">
        <v>172</v>
      </c>
      <c r="N150" t="s">
        <v>75</v>
      </c>
      <c r="O150" t="s">
        <v>207</v>
      </c>
      <c r="P150">
        <v>1966</v>
      </c>
      <c r="Q150">
        <v>1976</v>
      </c>
      <c r="R150">
        <v>60</v>
      </c>
      <c r="S150">
        <v>58</v>
      </c>
      <c r="T150">
        <v>48</v>
      </c>
      <c r="U150">
        <v>1</v>
      </c>
      <c r="V150">
        <v>2306</v>
      </c>
      <c r="W150">
        <v>0</v>
      </c>
      <c r="X150">
        <v>0</v>
      </c>
      <c r="Y150">
        <v>1190</v>
      </c>
      <c r="Z150">
        <v>714</v>
      </c>
      <c r="AA150">
        <v>476</v>
      </c>
      <c r="AB150">
        <v>3020</v>
      </c>
      <c r="AC150">
        <v>3500</v>
      </c>
      <c r="AD150">
        <v>2</v>
      </c>
      <c r="AE150" t="s">
        <v>132</v>
      </c>
      <c r="AF150" t="s">
        <v>275</v>
      </c>
      <c r="AG150" t="s">
        <v>111</v>
      </c>
      <c r="AH150" t="s">
        <v>314</v>
      </c>
      <c r="AI150">
        <v>0</v>
      </c>
      <c r="AJ150">
        <v>3</v>
      </c>
      <c r="AK150">
        <v>0</v>
      </c>
      <c r="AL150">
        <v>2</v>
      </c>
      <c r="AM150">
        <v>1</v>
      </c>
      <c r="AN150">
        <v>13</v>
      </c>
      <c r="AO150">
        <v>506</v>
      </c>
      <c r="AP150">
        <v>0</v>
      </c>
      <c r="AQ150">
        <v>506</v>
      </c>
      <c r="AR150">
        <v>0</v>
      </c>
      <c r="AS150">
        <v>682</v>
      </c>
      <c r="AT150">
        <v>0</v>
      </c>
      <c r="AU150">
        <v>84</v>
      </c>
      <c r="AV150">
        <v>100</v>
      </c>
      <c r="AW150">
        <v>100</v>
      </c>
      <c r="AX150">
        <v>628999</v>
      </c>
      <c r="AY150">
        <v>515779</v>
      </c>
      <c r="AZ150">
        <v>517</v>
      </c>
      <c r="BA150">
        <v>365</v>
      </c>
      <c r="BB150">
        <v>152</v>
      </c>
      <c r="BC150">
        <v>0</v>
      </c>
      <c r="BD150" s="6">
        <v>44775</v>
      </c>
      <c r="BE150" t="s">
        <v>241</v>
      </c>
      <c r="BF150">
        <v>675000</v>
      </c>
      <c r="BG150">
        <v>675000</v>
      </c>
      <c r="BH150" t="s">
        <v>198</v>
      </c>
      <c r="BI150">
        <v>30</v>
      </c>
      <c r="BJ150" t="s">
        <v>51</v>
      </c>
      <c r="BK150" t="s">
        <v>314</v>
      </c>
      <c r="BL150">
        <v>621600</v>
      </c>
      <c r="BM150">
        <v>102500</v>
      </c>
      <c r="BN150">
        <v>519100</v>
      </c>
      <c r="BO150">
        <v>0</v>
      </c>
      <c r="BP150">
        <v>0.92088888888888887</v>
      </c>
      <c r="BQ150">
        <v>609589.08239510574</v>
      </c>
      <c r="BR150">
        <v>652856.22782258596</v>
      </c>
      <c r="BS150" s="7">
        <f>(BR150-BL150)/BL150</f>
        <v>5.0283506793091959E-2</v>
      </c>
      <c r="BT150" s="14">
        <f>(Sales[[#This Row],[DP1]]*Lookups!$B$51)+(Sales[[#This Row],[DP2]]*Lookups!$B$52)+(Sales[[#This Row],[DP3]]*Lookups!$B$53)</f>
        <v>-43267.159008000002</v>
      </c>
      <c r="BU150" s="14">
        <f>Lookups!$B$48*0.5</f>
        <v>87214.824999999997</v>
      </c>
      <c r="BV150" s="14">
        <f>Lookups!$B$48*0.5</f>
        <v>87214.824999999997</v>
      </c>
      <c r="BW150" s="14">
        <f>Lookups!$B$49*Sales[[#This Row],[LnAcres]]</f>
        <v>-25569.730088938311</v>
      </c>
      <c r="BX150" s="14">
        <f>VLOOKUP(Sales[[#This Row],[Qlty]],Lookups!$A$54:$E$67,2,FALSE)</f>
        <v>19189.450408000001</v>
      </c>
      <c r="BY150" s="14">
        <f>VLOOKUP(Sales[[#This Row],[Cnd]],Lookups!$A$68:$E$76,2,FALSE)</f>
        <v>47273.897095</v>
      </c>
      <c r="BZ150" s="14">
        <f>Sales[[#This Row],[Age]]*Lookups!$B$77</f>
        <v>10701.720939999999</v>
      </c>
      <c r="CA150" s="14">
        <f>Sales[[#This Row],[MainFn]]*Lookups!$B$78</f>
        <v>159306.456454</v>
      </c>
      <c r="CB150" s="14">
        <f>Sales[[#This Row],[UpprFn]]*Lookups!$B$79</f>
        <v>0</v>
      </c>
      <c r="CC150" s="14">
        <f>Sales[[#This Row],[AddFn]]*Lookups!$B$80</f>
        <v>0</v>
      </c>
      <c r="CD150" s="14">
        <f>Sales[[#This Row],[Bsmt]]*Lookups!$B$81</f>
        <v>34044.303019999999</v>
      </c>
      <c r="CE150" s="14">
        <f>Sales[[#This Row],[Fixtures]]*Lookups!$B$84</f>
        <v>132016.30000000002</v>
      </c>
      <c r="CF150" s="14">
        <f>Sales[[#This Row],[MsnryFP]]*Lookups!$B$82</f>
        <v>75820.869000000006</v>
      </c>
      <c r="CG150" s="14">
        <f>Sales[[#This Row],[PrefabFP]]*Lookups!$B$83</f>
        <v>0</v>
      </c>
      <c r="CH150" s="14">
        <f>Sales[[#This Row],[GarageArea]]*Lookups!$B$85</f>
        <v>25643.319481999999</v>
      </c>
      <c r="CI150" s="14">
        <f>SUM(Sales[[#This Row],[Days Prior Total]:[Mdl GarageArea]])</f>
        <v>609589.0773020616</v>
      </c>
      <c r="CJ150" s="14">
        <f>ROUND(Sales[[#This Row],[25Det]],-2)</f>
        <v>0</v>
      </c>
      <c r="CK150" s="14">
        <f>ROUND(SUM(Sales[[#This Row],[Mdl Qlty]:[Mdl GarageArea]])+Sales[[#This Row],[Mdl Res Intercept]]+Sales[[#This Row],[Days Prior Total]],-2)</f>
        <v>547900</v>
      </c>
      <c r="CL150" s="14">
        <f>ROUND(Sales[[#This Row],[Mdl Land Intercept]]+Sales[[#This Row],[Mdl LnAcres]],-2)</f>
        <v>61600</v>
      </c>
      <c r="CM150" s="14">
        <f>Sales[[#This Row],[Unadj Res Value]]+Sales[[#This Row],[Unadj Det Value]]+Sales[[#This Row],[Unadj Land Value]]</f>
        <v>609500</v>
      </c>
      <c r="CN150" s="15">
        <f>Sales[[#This Row],[Unadj Total Value]]/Sales[[#This Row],[Price]]</f>
        <v>0.90296296296296297</v>
      </c>
      <c r="CO150" s="15">
        <f>(Sales[[#This Row],[Unadj Total Value]]-Sales[[#This Row],[24Final]])/Sales[[#This Row],[24Final]]</f>
        <v>-1.9465894465894466E-2</v>
      </c>
      <c r="CP150">
        <f>VLOOKUP(Sales[[#This Row],[TNbhd]],Lookups!$M$2:$P$4,4,FALSE)</f>
        <v>0.97570000000000001</v>
      </c>
      <c r="CQ150">
        <f>VLOOKUP(Sales[[#This Row],[Qlty]],Lookups!$M$6:$P$20,4,FALSE)</f>
        <v>0.9819</v>
      </c>
      <c r="CR150">
        <f>VLOOKUP(Sales[[#This Row],[Cnd]],Lookups!$R$6:$U$15,4,FALSE)</f>
        <v>0.97829999999999995</v>
      </c>
      <c r="CS150">
        <f>VLOOKUP(Sales[[#This Row],[LivArea Range]],Lookups!$R$23:$U$39,4,FALSE)</f>
        <v>0.99619999999999997</v>
      </c>
      <c r="CT150">
        <f>VLOOKUP(Sales[[#This Row],[Decade]],Lookups!$M$23:$P$35,4,FALSE)</f>
        <v>0.97289999999999999</v>
      </c>
      <c r="CU150">
        <f>Sales[[#This Row],[Nbhd Adj]]*0.95</f>
        <v>0.92691499999999993</v>
      </c>
      <c r="CV150">
        <f>Sales[[#This Row],[Nbhd Adj]]*Sales[[#This Row],[Quality Adj]]*Sales[[#This Row],[Condition Adj]]*Sales[[#This Row],[Living Area Adj]]*Sales[[#This Row],[Decade Adj]]*0.95</f>
        <v>0.86296655506027509</v>
      </c>
      <c r="CW150">
        <f>ROUND(SUM(Sales[[#This Row],[Mdl Qlty]:[Mdl GarageArea]])+Sales[[#This Row],[Mdl Res Intercept]]*Sales[[#This Row],[Res Adj ]],-2)</f>
        <v>579300</v>
      </c>
      <c r="CX150">
        <f>ROUND(Sales[[#This Row],[25Det]]*Sales[[#This Row],[Det/Nbhd Adj]],-2)</f>
        <v>0</v>
      </c>
      <c r="CY150">
        <f>Sales[[#This Row],[Adjusted Res]]+Sales[[#This Row],[Adj Det ]]</f>
        <v>579300</v>
      </c>
      <c r="CZ150">
        <f>ROUND((Sales[[#This Row],[Mdl Land Intercept]]+Sales[[#This Row],[Mdl LnAcres]])*Sales[[#This Row],[Det/Nbhd Adj]],-2)</f>
        <v>57100</v>
      </c>
      <c r="DA150">
        <f>Sales[[#This Row],[Adjusted Impr Total]]+Sales[[#This Row],[Adjusted Land Total]]</f>
        <v>636400</v>
      </c>
      <c r="DB150">
        <f>IFERROR((Sales[[#This Row],[Adjusted Impr Total]]-Sales[[#This Row],[24Bldg]])/Sales[[#This Row],[24Bldg]],0)</f>
        <v>0.1159699479869004</v>
      </c>
      <c r="DC150">
        <f>(Sales[[#This Row],[Adjusted Land Total]]-Sales[[#This Row],[24Lnd]])/Sales[[#This Row],[24Lnd]]</f>
        <v>-0.44292682926829269</v>
      </c>
      <c r="DD150">
        <f>(Sales[[#This Row],[Adjusted Total]]-Sales[[#This Row],[24Final]])/Sales[[#This Row],[24Final]]</f>
        <v>2.3809523809523808E-2</v>
      </c>
      <c r="DE150">
        <f>(Sales[[#This Row],[Adjusted Total]]+Sales[[#This Row],[Days Prior Total]])/Sales[[#This Row],[Price]]</f>
        <v>0.87871531998814811</v>
      </c>
    </row>
    <row r="151" spans="1:109" x14ac:dyDescent="0.3">
      <c r="A151">
        <v>2025</v>
      </c>
      <c r="B151">
        <v>18131644539</v>
      </c>
      <c r="C151">
        <v>-1.2729656758128873</v>
      </c>
      <c r="D151">
        <v>0.28000000000000003</v>
      </c>
      <c r="E151">
        <v>12150</v>
      </c>
      <c r="F151">
        <v>5</v>
      </c>
      <c r="G151" t="s">
        <v>89</v>
      </c>
      <c r="H151">
        <v>3042</v>
      </c>
      <c r="I151" t="s">
        <v>302</v>
      </c>
      <c r="J151" t="s">
        <v>26</v>
      </c>
      <c r="K151">
        <v>11</v>
      </c>
      <c r="L151">
        <v>259</v>
      </c>
      <c r="M151" t="s">
        <v>172</v>
      </c>
      <c r="N151" t="s">
        <v>75</v>
      </c>
      <c r="O151" t="s">
        <v>207</v>
      </c>
      <c r="P151">
        <v>1966</v>
      </c>
      <c r="Q151">
        <v>1976</v>
      </c>
      <c r="R151">
        <v>60</v>
      </c>
      <c r="S151">
        <v>58</v>
      </c>
      <c r="T151">
        <v>48</v>
      </c>
      <c r="U151">
        <v>1</v>
      </c>
      <c r="V151">
        <v>1545</v>
      </c>
      <c r="W151">
        <v>0</v>
      </c>
      <c r="X151">
        <v>0</v>
      </c>
      <c r="Y151">
        <v>1545</v>
      </c>
      <c r="Z151">
        <v>1545</v>
      </c>
      <c r="AA151">
        <v>0</v>
      </c>
      <c r="AB151">
        <v>3090</v>
      </c>
      <c r="AC151">
        <v>3500</v>
      </c>
      <c r="AD151">
        <v>2</v>
      </c>
      <c r="AE151" t="s">
        <v>5</v>
      </c>
      <c r="AF151" t="s">
        <v>275</v>
      </c>
      <c r="AG151" t="s">
        <v>111</v>
      </c>
      <c r="AH151" t="s">
        <v>314</v>
      </c>
      <c r="AI151">
        <v>0</v>
      </c>
      <c r="AJ151">
        <v>2</v>
      </c>
      <c r="AK151">
        <v>0</v>
      </c>
      <c r="AL151">
        <v>2</v>
      </c>
      <c r="AM151">
        <v>0</v>
      </c>
      <c r="AN151">
        <v>13</v>
      </c>
      <c r="AO151">
        <v>520</v>
      </c>
      <c r="AP151">
        <v>0</v>
      </c>
      <c r="AQ151">
        <v>520</v>
      </c>
      <c r="AR151">
        <v>0</v>
      </c>
      <c r="AS151">
        <v>363</v>
      </c>
      <c r="AT151">
        <v>308</v>
      </c>
      <c r="AU151">
        <v>0</v>
      </c>
      <c r="AV151">
        <v>100</v>
      </c>
      <c r="AW151">
        <v>100</v>
      </c>
      <c r="AX151">
        <v>556408</v>
      </c>
      <c r="AY151">
        <v>456255</v>
      </c>
      <c r="AZ151">
        <v>441</v>
      </c>
      <c r="BA151">
        <v>365</v>
      </c>
      <c r="BB151">
        <v>76</v>
      </c>
      <c r="BC151">
        <v>0</v>
      </c>
      <c r="BD151" s="6">
        <v>44851</v>
      </c>
      <c r="BE151" t="s">
        <v>32</v>
      </c>
      <c r="BF151">
        <v>480000</v>
      </c>
      <c r="BG151">
        <v>480000</v>
      </c>
      <c r="BH151" t="s">
        <v>198</v>
      </c>
      <c r="BI151">
        <v>30</v>
      </c>
      <c r="BJ151" t="s">
        <v>51</v>
      </c>
      <c r="BK151" t="s">
        <v>314</v>
      </c>
      <c r="BL151">
        <v>528300</v>
      </c>
      <c r="BM151">
        <v>88200</v>
      </c>
      <c r="BN151">
        <v>440100</v>
      </c>
      <c r="BO151">
        <v>0</v>
      </c>
      <c r="BP151">
        <v>1.100625</v>
      </c>
      <c r="BQ151">
        <v>529087.67538905493</v>
      </c>
      <c r="BR151">
        <v>579585.80629961507</v>
      </c>
      <c r="BS151" s="7">
        <f>(BR151-BL151)/BL151</f>
        <v>9.7077051485169541E-2</v>
      </c>
      <c r="BT151" s="14">
        <f>(Sales[[#This Row],[DP1]]*Lookups!$B$51)+(Sales[[#This Row],[DP2]]*Lookups!$B$52)+(Sales[[#This Row],[DP3]]*Lookups!$B$53)</f>
        <v>-50498.144504000004</v>
      </c>
      <c r="BU151" s="14">
        <f>Lookups!$B$48*0.5</f>
        <v>87214.824999999997</v>
      </c>
      <c r="BV151" s="14">
        <f>Lookups!$B$48*0.5</f>
        <v>87214.824999999997</v>
      </c>
      <c r="BW151" s="14">
        <f>Lookups!$B$49*Sales[[#This Row],[LnAcres]]</f>
        <v>-31859.58889753087</v>
      </c>
      <c r="BX151" s="14">
        <f>VLOOKUP(Sales[[#This Row],[Qlty]],Lookups!$A$54:$E$67,2,FALSE)</f>
        <v>19189.450408000001</v>
      </c>
      <c r="BY151" s="14">
        <f>VLOOKUP(Sales[[#This Row],[Cnd]],Lookups!$A$68:$E$76,2,FALSE)</f>
        <v>47273.897095</v>
      </c>
      <c r="BZ151" s="14">
        <f>Sales[[#This Row],[Age]]*Lookups!$B$77</f>
        <v>10701.720939999999</v>
      </c>
      <c r="CA151" s="14">
        <f>Sales[[#This Row],[MainFn]]*Lookups!$B$78</f>
        <v>106733.944155</v>
      </c>
      <c r="CB151" s="14">
        <f>Sales[[#This Row],[UpprFn]]*Lookups!$B$79</f>
        <v>0</v>
      </c>
      <c r="CC151" s="14">
        <f>Sales[[#This Row],[AddFn]]*Lookups!$B$80</f>
        <v>0</v>
      </c>
      <c r="CD151" s="14">
        <f>Sales[[#This Row],[Bsmt]]*Lookups!$B$81</f>
        <v>44200.376609999999</v>
      </c>
      <c r="CE151" s="14">
        <f>Sales[[#This Row],[Fixtures]]*Lookups!$B$84</f>
        <v>132016.30000000002</v>
      </c>
      <c r="CF151" s="14">
        <f>Sales[[#This Row],[MsnryFP]]*Lookups!$B$82</f>
        <v>50547.245999999999</v>
      </c>
      <c r="CG151" s="14">
        <f>Sales[[#This Row],[PrefabFP]]*Lookups!$B$83</f>
        <v>0</v>
      </c>
      <c r="CH151" s="14">
        <f>Sales[[#This Row],[GarageArea]]*Lookups!$B$85</f>
        <v>26352.818439999999</v>
      </c>
      <c r="CI151" s="14">
        <f>SUM(Sales[[#This Row],[Days Prior Total]:[Mdl GarageArea]])</f>
        <v>529087.67024646909</v>
      </c>
      <c r="CJ151" s="14">
        <f>ROUND(Sales[[#This Row],[25Det]],-2)</f>
        <v>0</v>
      </c>
      <c r="CK151" s="14">
        <f>ROUND(SUM(Sales[[#This Row],[Mdl Qlty]:[Mdl GarageArea]])+Sales[[#This Row],[Mdl Res Intercept]]+Sales[[#This Row],[Days Prior Total]],-2)</f>
        <v>473700</v>
      </c>
      <c r="CL151" s="14">
        <f>ROUND(Sales[[#This Row],[Mdl Land Intercept]]+Sales[[#This Row],[Mdl LnAcres]],-2)</f>
        <v>55400</v>
      </c>
      <c r="CM151" s="14">
        <f>Sales[[#This Row],[Unadj Res Value]]+Sales[[#This Row],[Unadj Det Value]]+Sales[[#This Row],[Unadj Land Value]]</f>
        <v>529100</v>
      </c>
      <c r="CN151" s="15">
        <f>Sales[[#This Row],[Unadj Total Value]]/Sales[[#This Row],[Price]]</f>
        <v>1.1022916666666667</v>
      </c>
      <c r="CO151" s="15">
        <f>(Sales[[#This Row],[Unadj Total Value]]-Sales[[#This Row],[24Final]])/Sales[[#This Row],[24Final]]</f>
        <v>1.5142911224682945E-3</v>
      </c>
      <c r="CP151">
        <f>VLOOKUP(Sales[[#This Row],[TNbhd]],Lookups!$M$2:$P$4,4,FALSE)</f>
        <v>0.97570000000000001</v>
      </c>
      <c r="CQ151">
        <f>VLOOKUP(Sales[[#This Row],[Qlty]],Lookups!$M$6:$P$20,4,FALSE)</f>
        <v>0.9819</v>
      </c>
      <c r="CR151">
        <f>VLOOKUP(Sales[[#This Row],[Cnd]],Lookups!$R$6:$U$15,4,FALSE)</f>
        <v>0.97829999999999995</v>
      </c>
      <c r="CS151">
        <f>VLOOKUP(Sales[[#This Row],[LivArea Range]],Lookups!$R$23:$U$39,4,FALSE)</f>
        <v>0.99619999999999997</v>
      </c>
      <c r="CT151">
        <f>VLOOKUP(Sales[[#This Row],[Decade]],Lookups!$M$23:$P$35,4,FALSE)</f>
        <v>0.97289999999999999</v>
      </c>
      <c r="CU151">
        <f>Sales[[#This Row],[Nbhd Adj]]*0.95</f>
        <v>0.92691499999999993</v>
      </c>
      <c r="CV151">
        <f>Sales[[#This Row],[Nbhd Adj]]*Sales[[#This Row],[Quality Adj]]*Sales[[#This Row],[Condition Adj]]*Sales[[#This Row],[Living Area Adj]]*Sales[[#This Row],[Decade Adj]]*0.95</f>
        <v>0.86296655506027509</v>
      </c>
      <c r="CW151">
        <f>ROUND(SUM(Sales[[#This Row],[Mdl Qlty]:[Mdl GarageArea]])+Sales[[#This Row],[Mdl Res Intercept]]*Sales[[#This Row],[Res Adj ]],-2)</f>
        <v>512300</v>
      </c>
      <c r="CX151">
        <f>ROUND(Sales[[#This Row],[25Det]]*Sales[[#This Row],[Det/Nbhd Adj]],-2)</f>
        <v>0</v>
      </c>
      <c r="CY151">
        <f>Sales[[#This Row],[Adjusted Res]]+Sales[[#This Row],[Adj Det ]]</f>
        <v>512300</v>
      </c>
      <c r="CZ151">
        <f>ROUND((Sales[[#This Row],[Mdl Land Intercept]]+Sales[[#This Row],[Mdl LnAcres]])*Sales[[#This Row],[Det/Nbhd Adj]],-2)</f>
        <v>51300</v>
      </c>
      <c r="DA151">
        <f>Sales[[#This Row],[Adjusted Impr Total]]+Sales[[#This Row],[Adjusted Land Total]]</f>
        <v>563600</v>
      </c>
      <c r="DB151">
        <f>IFERROR((Sales[[#This Row],[Adjusted Impr Total]]-Sales[[#This Row],[24Bldg]])/Sales[[#This Row],[24Bldg]],0)</f>
        <v>0.16405362417632358</v>
      </c>
      <c r="DC151">
        <f>(Sales[[#This Row],[Adjusted Land Total]]-Sales[[#This Row],[24Lnd]])/Sales[[#This Row],[24Lnd]]</f>
        <v>-0.41836734693877553</v>
      </c>
      <c r="DD151">
        <f>(Sales[[#This Row],[Adjusted Total]]-Sales[[#This Row],[24Final]])/Sales[[#This Row],[24Final]]</f>
        <v>6.6818095778913497E-2</v>
      </c>
      <c r="DE151">
        <f>(Sales[[#This Row],[Adjusted Total]]+Sales[[#This Row],[Days Prior Total]])/Sales[[#This Row],[Price]]</f>
        <v>1.06896219895</v>
      </c>
    </row>
    <row r="152" spans="1:109" x14ac:dyDescent="0.3">
      <c r="A152">
        <v>2025</v>
      </c>
      <c r="B152">
        <v>18131742427</v>
      </c>
      <c r="C152">
        <v>1.3376291891386096</v>
      </c>
      <c r="D152">
        <v>3.81</v>
      </c>
      <c r="E152">
        <v>0</v>
      </c>
      <c r="F152">
        <v>1</v>
      </c>
      <c r="G152" t="s">
        <v>89</v>
      </c>
      <c r="H152">
        <v>3041</v>
      </c>
      <c r="I152" t="s">
        <v>302</v>
      </c>
      <c r="J152" t="s">
        <v>110</v>
      </c>
      <c r="K152">
        <v>11</v>
      </c>
      <c r="L152">
        <v>331</v>
      </c>
      <c r="M152" t="s">
        <v>313</v>
      </c>
      <c r="N152" t="s">
        <v>230</v>
      </c>
      <c r="O152" t="s">
        <v>258</v>
      </c>
      <c r="P152">
        <v>1966</v>
      </c>
      <c r="Q152">
        <v>1976</v>
      </c>
      <c r="R152">
        <v>60</v>
      </c>
      <c r="S152">
        <v>58</v>
      </c>
      <c r="T152">
        <v>48</v>
      </c>
      <c r="U152">
        <v>2</v>
      </c>
      <c r="V152">
        <v>4673</v>
      </c>
      <c r="W152">
        <v>2684</v>
      </c>
      <c r="X152">
        <v>0</v>
      </c>
      <c r="Y152">
        <v>3854</v>
      </c>
      <c r="Z152">
        <v>3854</v>
      </c>
      <c r="AA152">
        <v>0</v>
      </c>
      <c r="AB152">
        <v>11211</v>
      </c>
      <c r="AC152">
        <v>11500</v>
      </c>
      <c r="AD152">
        <v>3</v>
      </c>
      <c r="AE152" t="s">
        <v>5</v>
      </c>
      <c r="AF152" t="s">
        <v>275</v>
      </c>
      <c r="AG152" t="s">
        <v>111</v>
      </c>
      <c r="AH152" t="s">
        <v>314</v>
      </c>
      <c r="AI152">
        <v>0</v>
      </c>
      <c r="AJ152">
        <v>6</v>
      </c>
      <c r="AK152">
        <v>0</v>
      </c>
      <c r="AL152">
        <v>1</v>
      </c>
      <c r="AM152">
        <v>2</v>
      </c>
      <c r="AN152">
        <v>27</v>
      </c>
      <c r="AO152">
        <v>816</v>
      </c>
      <c r="AP152">
        <v>0</v>
      </c>
      <c r="AQ152">
        <v>816</v>
      </c>
      <c r="AR152">
        <v>0</v>
      </c>
      <c r="AS152">
        <v>0</v>
      </c>
      <c r="AT152">
        <v>1014</v>
      </c>
      <c r="AU152">
        <v>0</v>
      </c>
      <c r="AV152">
        <v>100</v>
      </c>
      <c r="AW152">
        <v>100</v>
      </c>
      <c r="AX152">
        <v>3123309</v>
      </c>
      <c r="AY152">
        <v>1624121</v>
      </c>
      <c r="AZ152">
        <v>59</v>
      </c>
      <c r="BA152">
        <v>59</v>
      </c>
      <c r="BB152">
        <v>0</v>
      </c>
      <c r="BC152">
        <v>0</v>
      </c>
      <c r="BD152" s="6">
        <v>45233</v>
      </c>
      <c r="BE152" t="s">
        <v>289</v>
      </c>
      <c r="BF152">
        <v>2000000</v>
      </c>
      <c r="BG152">
        <v>1936236</v>
      </c>
      <c r="BH152" t="s">
        <v>198</v>
      </c>
      <c r="BI152">
        <v>30</v>
      </c>
      <c r="BJ152" t="s">
        <v>51</v>
      </c>
      <c r="BK152" t="s">
        <v>314</v>
      </c>
      <c r="BL152">
        <v>1921400</v>
      </c>
      <c r="BM152">
        <v>233500</v>
      </c>
      <c r="BN152">
        <v>1687900</v>
      </c>
      <c r="BO152">
        <v>63764</v>
      </c>
      <c r="BP152">
        <v>0.9607</v>
      </c>
      <c r="BQ152">
        <v>1899563.1034595247</v>
      </c>
      <c r="BR152">
        <v>1908894.6592601405</v>
      </c>
      <c r="BS152" s="7">
        <f>(BR152-BL152)/BL152</f>
        <v>-6.5084525553552102E-3</v>
      </c>
      <c r="BT152" s="14">
        <f>(Sales[[#This Row],[DP1]]*Lookups!$B$51)+(Sales[[#This Row],[DP2]]*Lookups!$B$52)+(Sales[[#This Row],[DP3]]*Lookups!$B$53)</f>
        <v>-9331.5580000000009</v>
      </c>
      <c r="BU152" s="14">
        <f>Lookups!$B$48*0.5</f>
        <v>87214.824999999997</v>
      </c>
      <c r="BV152" s="14">
        <f>Lookups!$B$48*0.5</f>
        <v>87214.824999999997</v>
      </c>
      <c r="BW152" s="14">
        <f>Lookups!$B$49*Sales[[#This Row],[LnAcres]]</f>
        <v>33477.977350865993</v>
      </c>
      <c r="BX152" s="14">
        <f>VLOOKUP(Sales[[#This Row],[Qlty]],Lookups!$A$54:$E$67,2,FALSE)</f>
        <v>519241.74659</v>
      </c>
      <c r="BY152" s="14">
        <f>VLOOKUP(Sales[[#This Row],[Cnd]],Lookups!$A$68:$E$76,2,FALSE)</f>
        <v>106557.38887</v>
      </c>
      <c r="BZ152" s="14">
        <f>Sales[[#This Row],[Age]]*Lookups!$B$77</f>
        <v>10701.720939999999</v>
      </c>
      <c r="CA152" s="14">
        <f>Sales[[#This Row],[MainFn]]*Lookups!$B$78</f>
        <v>322827.00390700001</v>
      </c>
      <c r="CB152" s="14">
        <f>Sales[[#This Row],[UpprFn]]*Lookups!$B$79</f>
        <v>164218.32570000002</v>
      </c>
      <c r="CC152" s="14">
        <f>Sales[[#This Row],[AddFn]]*Lookups!$B$80</f>
        <v>0</v>
      </c>
      <c r="CD152" s="14">
        <f>Sales[[#This Row],[Bsmt]]*Lookups!$B$81</f>
        <v>110257.76793199999</v>
      </c>
      <c r="CE152" s="14">
        <f>Sales[[#This Row],[Fixtures]]*Lookups!$B$84</f>
        <v>274187.7</v>
      </c>
      <c r="CF152" s="14">
        <f>Sales[[#This Row],[MsnryFP]]*Lookups!$B$82</f>
        <v>151641.73800000001</v>
      </c>
      <c r="CG152" s="14">
        <f>Sales[[#This Row],[PrefabFP]]*Lookups!$B$83</f>
        <v>0</v>
      </c>
      <c r="CH152" s="14">
        <f>Sales[[#This Row],[GarageArea]]*Lookups!$B$85</f>
        <v>41353.653552000003</v>
      </c>
      <c r="CI152" s="14">
        <f>SUM(Sales[[#This Row],[Days Prior Total]:[Mdl GarageArea]])</f>
        <v>1899563.1148418658</v>
      </c>
      <c r="CJ152" s="14">
        <f>ROUND(Sales[[#This Row],[25Det]],-2)</f>
        <v>63800</v>
      </c>
      <c r="CK152" s="14">
        <f>ROUND(SUM(Sales[[#This Row],[Mdl Qlty]:[Mdl GarageArea]])+Sales[[#This Row],[Mdl Res Intercept]]+Sales[[#This Row],[Days Prior Total]],-2)</f>
        <v>1778900</v>
      </c>
      <c r="CL152" s="14">
        <f>ROUND(Sales[[#This Row],[Mdl Land Intercept]]+Sales[[#This Row],[Mdl LnAcres]],-2)</f>
        <v>120700</v>
      </c>
      <c r="CM152" s="14">
        <f>Sales[[#This Row],[Unadj Res Value]]+Sales[[#This Row],[Unadj Det Value]]+Sales[[#This Row],[Unadj Land Value]]</f>
        <v>1963400</v>
      </c>
      <c r="CN152" s="15">
        <f>Sales[[#This Row],[Unadj Total Value]]/Sales[[#This Row],[Price]]</f>
        <v>0.98170000000000002</v>
      </c>
      <c r="CO152" s="15">
        <f>(Sales[[#This Row],[Unadj Total Value]]-Sales[[#This Row],[24Final]])/Sales[[#This Row],[24Final]]</f>
        <v>2.1859061101280317E-2</v>
      </c>
      <c r="CP152">
        <f>VLOOKUP(Sales[[#This Row],[TNbhd]],Lookups!$M$2:$P$4,4,FALSE)</f>
        <v>0.97570000000000001</v>
      </c>
      <c r="CQ152">
        <f>VLOOKUP(Sales[[#This Row],[Qlty]],Lookups!$M$6:$P$20,4,FALSE)</f>
        <v>0.99960000000000004</v>
      </c>
      <c r="CR152">
        <f>VLOOKUP(Sales[[#This Row],[Cnd]],Lookups!$R$6:$U$15,4,FALSE)</f>
        <v>0.9748</v>
      </c>
      <c r="CS152">
        <f>VLOOKUP(Sales[[#This Row],[LivArea Range]],Lookups!$R$23:$U$39,4,FALSE)</f>
        <v>1.0185999999999999</v>
      </c>
      <c r="CT152">
        <f>VLOOKUP(Sales[[#This Row],[Decade]],Lookups!$M$23:$P$35,4,FALSE)</f>
        <v>0.97289999999999999</v>
      </c>
      <c r="CU152">
        <f>Sales[[#This Row],[Nbhd Adj]]*0.95</f>
        <v>0.92691499999999993</v>
      </c>
      <c r="CV152">
        <f>Sales[[#This Row],[Nbhd Adj]]*Sales[[#This Row],[Quality Adj]]*Sales[[#This Row],[Condition Adj]]*Sales[[#This Row],[Living Area Adj]]*Sales[[#This Row],[Decade Adj]]*0.95</f>
        <v>0.8950628944564748</v>
      </c>
      <c r="CW152">
        <f>ROUND(SUM(Sales[[#This Row],[Mdl Qlty]:[Mdl GarageArea]])+Sales[[#This Row],[Mdl Res Intercept]]*Sales[[#This Row],[Res Adj ]],-2)</f>
        <v>1779000</v>
      </c>
      <c r="CX152">
        <f>ROUND(Sales[[#This Row],[25Det]]*Sales[[#This Row],[Det/Nbhd Adj]],-2)</f>
        <v>59100</v>
      </c>
      <c r="CY152">
        <f>Sales[[#This Row],[Adjusted Res]]+Sales[[#This Row],[Adj Det ]]</f>
        <v>1838100</v>
      </c>
      <c r="CZ152">
        <f>ROUND((Sales[[#This Row],[Mdl Land Intercept]]+Sales[[#This Row],[Mdl LnAcres]])*Sales[[#This Row],[Det/Nbhd Adj]],-2)</f>
        <v>111900</v>
      </c>
      <c r="DA152">
        <f>Sales[[#This Row],[Adjusted Impr Total]]+Sales[[#This Row],[Adjusted Land Total]]</f>
        <v>1950000</v>
      </c>
      <c r="DB152">
        <f>IFERROR((Sales[[#This Row],[Adjusted Impr Total]]-Sales[[#This Row],[24Bldg]])/Sales[[#This Row],[24Bldg]],0)</f>
        <v>8.8986314355115823E-2</v>
      </c>
      <c r="DC152">
        <f>(Sales[[#This Row],[Adjusted Land Total]]-Sales[[#This Row],[24Lnd]])/Sales[[#This Row],[24Lnd]]</f>
        <v>-0.52077087794432553</v>
      </c>
      <c r="DD152">
        <f>(Sales[[#This Row],[Adjusted Total]]-Sales[[#This Row],[24Final]])/Sales[[#This Row],[24Final]]</f>
        <v>1.4884979702300407E-2</v>
      </c>
      <c r="DE152">
        <f>(Sales[[#This Row],[Adjusted Total]]+Sales[[#This Row],[Days Prior Total]])/Sales[[#This Row],[Price]]</f>
        <v>0.970334221</v>
      </c>
    </row>
    <row r="153" spans="1:109" x14ac:dyDescent="0.3">
      <c r="A153">
        <v>2025</v>
      </c>
      <c r="B153">
        <v>18131644523</v>
      </c>
      <c r="C153">
        <v>-1.2729656758128873</v>
      </c>
      <c r="D153">
        <v>0.28000000000000003</v>
      </c>
      <c r="E153">
        <v>12028</v>
      </c>
      <c r="F153">
        <v>5</v>
      </c>
      <c r="G153" t="s">
        <v>89</v>
      </c>
      <c r="H153">
        <v>3042</v>
      </c>
      <c r="I153" t="s">
        <v>302</v>
      </c>
      <c r="J153" t="s">
        <v>26</v>
      </c>
      <c r="K153">
        <v>11</v>
      </c>
      <c r="L153">
        <v>259</v>
      </c>
      <c r="M153" t="s">
        <v>172</v>
      </c>
      <c r="N153" t="s">
        <v>205</v>
      </c>
      <c r="O153" t="s">
        <v>207</v>
      </c>
      <c r="P153">
        <v>1965</v>
      </c>
      <c r="Q153">
        <v>1976</v>
      </c>
      <c r="R153">
        <v>60</v>
      </c>
      <c r="S153">
        <v>59</v>
      </c>
      <c r="T153">
        <v>48</v>
      </c>
      <c r="U153">
        <v>1</v>
      </c>
      <c r="V153">
        <v>1456</v>
      </c>
      <c r="W153">
        <v>0</v>
      </c>
      <c r="X153">
        <v>0</v>
      </c>
      <c r="Y153">
        <v>1456</v>
      </c>
      <c r="Z153">
        <v>1456</v>
      </c>
      <c r="AA153">
        <v>0</v>
      </c>
      <c r="AB153">
        <v>2912</v>
      </c>
      <c r="AC153">
        <v>3000</v>
      </c>
      <c r="AD153">
        <v>2</v>
      </c>
      <c r="AE153" t="s">
        <v>5</v>
      </c>
      <c r="AF153" t="s">
        <v>275</v>
      </c>
      <c r="AG153" t="s">
        <v>111</v>
      </c>
      <c r="AH153" t="s">
        <v>314</v>
      </c>
      <c r="AI153">
        <v>0</v>
      </c>
      <c r="AJ153">
        <v>1</v>
      </c>
      <c r="AK153">
        <v>0</v>
      </c>
      <c r="AL153">
        <v>2</v>
      </c>
      <c r="AM153">
        <v>0</v>
      </c>
      <c r="AN153">
        <v>12</v>
      </c>
      <c r="AO153">
        <v>504</v>
      </c>
      <c r="AP153">
        <v>0</v>
      </c>
      <c r="AQ153">
        <v>504</v>
      </c>
      <c r="AR153">
        <v>0</v>
      </c>
      <c r="AS153">
        <v>0</v>
      </c>
      <c r="AT153">
        <v>532</v>
      </c>
      <c r="AU153">
        <v>532</v>
      </c>
      <c r="AV153">
        <v>100</v>
      </c>
      <c r="AW153">
        <v>100</v>
      </c>
      <c r="AX153">
        <v>409467</v>
      </c>
      <c r="AY153">
        <v>331668</v>
      </c>
      <c r="AZ153">
        <v>438</v>
      </c>
      <c r="BA153">
        <v>365</v>
      </c>
      <c r="BB153">
        <v>73</v>
      </c>
      <c r="BC153">
        <v>0</v>
      </c>
      <c r="BD153" s="6">
        <v>44854</v>
      </c>
      <c r="BE153" t="s">
        <v>117</v>
      </c>
      <c r="BF153">
        <v>395000</v>
      </c>
      <c r="BG153">
        <v>395000</v>
      </c>
      <c r="BH153" t="s">
        <v>198</v>
      </c>
      <c r="BI153">
        <v>30</v>
      </c>
      <c r="BJ153" t="s">
        <v>51</v>
      </c>
      <c r="BK153" t="s">
        <v>314</v>
      </c>
      <c r="BL153">
        <v>405500</v>
      </c>
      <c r="BM153">
        <v>88200</v>
      </c>
      <c r="BN153">
        <v>317300</v>
      </c>
      <c r="BO153">
        <v>0</v>
      </c>
      <c r="BP153">
        <v>1.0265822784810126</v>
      </c>
      <c r="BQ153">
        <v>434549.45982773294</v>
      </c>
      <c r="BR153">
        <v>485333.0243757831</v>
      </c>
      <c r="BS153" s="7">
        <f>(BR153-BL153)/BL153</f>
        <v>0.19687552250501383</v>
      </c>
      <c r="BT153" s="14">
        <f>(Sales[[#This Row],[DP1]]*Lookups!$B$51)+(Sales[[#This Row],[DP2]]*Lookups!$B$52)+(Sales[[#This Row],[DP3]]*Lookups!$B$53)</f>
        <v>-50783.578142000006</v>
      </c>
      <c r="BU153" s="14">
        <f>Lookups!$B$48*0.5</f>
        <v>87214.824999999997</v>
      </c>
      <c r="BV153" s="14">
        <f>Lookups!$B$48*0.5</f>
        <v>87214.824999999997</v>
      </c>
      <c r="BW153" s="14">
        <f>Lookups!$B$49*Sales[[#This Row],[LnAcres]]</f>
        <v>-31859.58889753087</v>
      </c>
      <c r="BX153" s="14">
        <f>VLOOKUP(Sales[[#This Row],[Qlty]],Lookups!$A$54:$E$67,2,FALSE)</f>
        <v>30313.66692</v>
      </c>
      <c r="BY153" s="14">
        <f>VLOOKUP(Sales[[#This Row],[Cnd]],Lookups!$A$68:$E$76,2,FALSE)</f>
        <v>47273.897095</v>
      </c>
      <c r="BZ153" s="14">
        <f>Sales[[#This Row],[Age]]*Lookups!$B$77</f>
        <v>10886.23337</v>
      </c>
      <c r="CA153" s="14">
        <f>Sales[[#This Row],[MainFn]]*Lookups!$B$78</f>
        <v>100585.516304</v>
      </c>
      <c r="CB153" s="14">
        <f>Sales[[#This Row],[UpprFn]]*Lookups!$B$79</f>
        <v>0</v>
      </c>
      <c r="CC153" s="14">
        <f>Sales[[#This Row],[AddFn]]*Lookups!$B$80</f>
        <v>0</v>
      </c>
      <c r="CD153" s="14">
        <f>Sales[[#This Row],[Bsmt]]*Lookups!$B$81</f>
        <v>41654.206048</v>
      </c>
      <c r="CE153" s="14">
        <f>Sales[[#This Row],[Fixtures]]*Lookups!$B$84</f>
        <v>121861.20000000001</v>
      </c>
      <c r="CF153" s="14">
        <f>Sales[[#This Row],[MsnryFP]]*Lookups!$B$82</f>
        <v>25273.623</v>
      </c>
      <c r="CG153" s="14">
        <f>Sales[[#This Row],[PrefabFP]]*Lookups!$B$83</f>
        <v>0</v>
      </c>
      <c r="CH153" s="14">
        <f>Sales[[#This Row],[GarageArea]]*Lookups!$B$85</f>
        <v>25541.962488000001</v>
      </c>
      <c r="CI153" s="14">
        <f>SUM(Sales[[#This Row],[Days Prior Total]:[Mdl GarageArea]])</f>
        <v>495176.78818546917</v>
      </c>
      <c r="CJ153" s="14">
        <f>ROUND(Sales[[#This Row],[25Det]],-2)</f>
        <v>0</v>
      </c>
      <c r="CK153" s="14">
        <f>ROUND(SUM(Sales[[#This Row],[Mdl Qlty]:[Mdl GarageArea]])+Sales[[#This Row],[Mdl Res Intercept]]+Sales[[#This Row],[Days Prior Total]],-2)</f>
        <v>439800</v>
      </c>
      <c r="CL153" s="14">
        <f>ROUND(Sales[[#This Row],[Mdl Land Intercept]]+Sales[[#This Row],[Mdl LnAcres]],-2)</f>
        <v>55400</v>
      </c>
      <c r="CM153" s="14">
        <f>Sales[[#This Row],[Unadj Res Value]]+Sales[[#This Row],[Unadj Det Value]]+Sales[[#This Row],[Unadj Land Value]]</f>
        <v>495200</v>
      </c>
      <c r="CN153" s="15">
        <f>Sales[[#This Row],[Unadj Total Value]]/Sales[[#This Row],[Price]]</f>
        <v>1.2536708860759493</v>
      </c>
      <c r="CO153" s="15">
        <f>(Sales[[#This Row],[Unadj Total Value]]-Sales[[#This Row],[24Final]])/Sales[[#This Row],[24Final]]</f>
        <v>0.22120838471023427</v>
      </c>
      <c r="CP153">
        <f>VLOOKUP(Sales[[#This Row],[TNbhd]],Lookups!$M$2:$P$4,4,FALSE)</f>
        <v>0.97570000000000001</v>
      </c>
      <c r="CQ153">
        <f>VLOOKUP(Sales[[#This Row],[Qlty]],Lookups!$M$6:$P$20,4,FALSE)</f>
        <v>0.85299999999999998</v>
      </c>
      <c r="CR153">
        <f>VLOOKUP(Sales[[#This Row],[Cnd]],Lookups!$R$6:$U$15,4,FALSE)</f>
        <v>0.97829999999999995</v>
      </c>
      <c r="CS153">
        <f>VLOOKUP(Sales[[#This Row],[LivArea Range]],Lookups!$R$23:$U$39,4,FALSE)</f>
        <v>0.93310000000000004</v>
      </c>
      <c r="CT153">
        <f>VLOOKUP(Sales[[#This Row],[Decade]],Lookups!$M$23:$P$35,4,FALSE)</f>
        <v>0.97289999999999999</v>
      </c>
      <c r="CU153">
        <f>Sales[[#This Row],[Nbhd Adj]]*0.95</f>
        <v>0.92691499999999993</v>
      </c>
      <c r="CV153">
        <f>Sales[[#This Row],[Nbhd Adj]]*Sales[[#This Row],[Quality Adj]]*Sales[[#This Row],[Condition Adj]]*Sales[[#This Row],[Living Area Adj]]*Sales[[#This Row],[Decade Adj]]*0.95</f>
        <v>0.70219444227744765</v>
      </c>
      <c r="CW153">
        <f>ROUND(SUM(Sales[[#This Row],[Mdl Qlty]:[Mdl GarageArea]])+Sales[[#This Row],[Mdl Res Intercept]]*Sales[[#This Row],[Res Adj ]],-2)</f>
        <v>464600</v>
      </c>
      <c r="CX153">
        <f>ROUND(Sales[[#This Row],[25Det]]*Sales[[#This Row],[Det/Nbhd Adj]],-2)</f>
        <v>0</v>
      </c>
      <c r="CY153">
        <f>Sales[[#This Row],[Adjusted Res]]+Sales[[#This Row],[Adj Det ]]</f>
        <v>464600</v>
      </c>
      <c r="CZ153">
        <f>ROUND((Sales[[#This Row],[Mdl Land Intercept]]+Sales[[#This Row],[Mdl LnAcres]])*Sales[[#This Row],[Det/Nbhd Adj]],-2)</f>
        <v>51300</v>
      </c>
      <c r="DA153">
        <f>Sales[[#This Row],[Adjusted Impr Total]]+Sales[[#This Row],[Adjusted Land Total]]</f>
        <v>515900</v>
      </c>
      <c r="DB153">
        <f>IFERROR((Sales[[#This Row],[Adjusted Impr Total]]-Sales[[#This Row],[24Bldg]])/Sales[[#This Row],[24Bldg]],0)</f>
        <v>0.46422943586511189</v>
      </c>
      <c r="DC153">
        <f>(Sales[[#This Row],[Adjusted Land Total]]-Sales[[#This Row],[24Lnd]])/Sales[[#This Row],[24Lnd]]</f>
        <v>-0.41836734693877553</v>
      </c>
      <c r="DD153">
        <f>(Sales[[#This Row],[Adjusted Total]]-Sales[[#This Row],[24Final]])/Sales[[#This Row],[24Final]]</f>
        <v>0.27225647348951909</v>
      </c>
      <c r="DE153">
        <f>(Sales[[#This Row],[Adjusted Total]]+Sales[[#This Row],[Days Prior Total]])/Sales[[#This Row],[Price]]</f>
        <v>1.1775099287544304</v>
      </c>
    </row>
    <row r="154" spans="1:109" x14ac:dyDescent="0.3">
      <c r="A154">
        <v>2025</v>
      </c>
      <c r="B154">
        <v>18131644534</v>
      </c>
      <c r="C154">
        <v>-1.3093333199837622</v>
      </c>
      <c r="D154">
        <v>0.27</v>
      </c>
      <c r="E154">
        <v>11620</v>
      </c>
      <c r="F154">
        <v>5</v>
      </c>
      <c r="G154" t="s">
        <v>89</v>
      </c>
      <c r="H154" t="s">
        <v>302</v>
      </c>
      <c r="I154" t="s">
        <v>302</v>
      </c>
      <c r="J154" t="s">
        <v>26</v>
      </c>
      <c r="K154">
        <v>11</v>
      </c>
      <c r="L154">
        <v>259</v>
      </c>
      <c r="M154" t="s">
        <v>4</v>
      </c>
      <c r="N154" t="s">
        <v>111</v>
      </c>
      <c r="O154" t="s">
        <v>231</v>
      </c>
      <c r="P154">
        <v>1965</v>
      </c>
      <c r="Q154">
        <v>1976</v>
      </c>
      <c r="R154">
        <v>60</v>
      </c>
      <c r="S154">
        <v>59</v>
      </c>
      <c r="T154">
        <v>48</v>
      </c>
      <c r="U154">
        <v>1</v>
      </c>
      <c r="V154">
        <v>1433</v>
      </c>
      <c r="W154">
        <v>0</v>
      </c>
      <c r="X154">
        <v>0</v>
      </c>
      <c r="Y154">
        <v>720</v>
      </c>
      <c r="Z154">
        <v>720</v>
      </c>
      <c r="AA154">
        <v>0</v>
      </c>
      <c r="AB154">
        <v>2153</v>
      </c>
      <c r="AC154">
        <v>2500</v>
      </c>
      <c r="AD154">
        <v>2</v>
      </c>
      <c r="AE154" t="s">
        <v>5</v>
      </c>
      <c r="AF154" t="s">
        <v>275</v>
      </c>
      <c r="AG154" t="s">
        <v>111</v>
      </c>
      <c r="AH154" t="s">
        <v>314</v>
      </c>
      <c r="AI154">
        <v>0</v>
      </c>
      <c r="AJ154">
        <v>2</v>
      </c>
      <c r="AK154">
        <v>0</v>
      </c>
      <c r="AL154">
        <v>1</v>
      </c>
      <c r="AM154">
        <v>1</v>
      </c>
      <c r="AN154">
        <v>10</v>
      </c>
      <c r="AO154">
        <v>0</v>
      </c>
      <c r="AP154">
        <v>667</v>
      </c>
      <c r="AQ154">
        <v>667</v>
      </c>
      <c r="AR154">
        <v>0</v>
      </c>
      <c r="AS154">
        <v>621</v>
      </c>
      <c r="AT154">
        <v>0</v>
      </c>
      <c r="AU154">
        <v>0</v>
      </c>
      <c r="AV154">
        <v>100</v>
      </c>
      <c r="AW154">
        <v>100</v>
      </c>
      <c r="AX154">
        <v>400855</v>
      </c>
      <c r="AY154">
        <v>296633</v>
      </c>
      <c r="AZ154">
        <v>63</v>
      </c>
      <c r="BA154">
        <v>63</v>
      </c>
      <c r="BB154">
        <v>0</v>
      </c>
      <c r="BC154">
        <v>0</v>
      </c>
      <c r="BD154" s="6">
        <v>45229</v>
      </c>
      <c r="BE154" t="s">
        <v>176</v>
      </c>
      <c r="BF154">
        <v>404000</v>
      </c>
      <c r="BG154">
        <v>404000</v>
      </c>
      <c r="BH154" t="s">
        <v>198</v>
      </c>
      <c r="BI154">
        <v>30</v>
      </c>
      <c r="BJ154" t="s">
        <v>51</v>
      </c>
      <c r="BK154" t="s">
        <v>314</v>
      </c>
      <c r="BL154">
        <v>454600</v>
      </c>
      <c r="BM154">
        <v>86200</v>
      </c>
      <c r="BN154">
        <v>368400</v>
      </c>
      <c r="BO154">
        <v>0</v>
      </c>
      <c r="BP154">
        <v>1.1252475247524751</v>
      </c>
      <c r="BQ154">
        <v>433747.81892734667</v>
      </c>
      <c r="BR154">
        <v>443712.02257885167</v>
      </c>
      <c r="BS154" s="7">
        <f>(BR154-BL154)/BL154</f>
        <v>-2.3950676245376883E-2</v>
      </c>
      <c r="BT154" s="14">
        <f>(Sales[[#This Row],[DP1]]*Lookups!$B$51)+(Sales[[#This Row],[DP2]]*Lookups!$B$52)+(Sales[[#This Row],[DP3]]*Lookups!$B$53)</f>
        <v>-9964.2060000000001</v>
      </c>
      <c r="BU154" s="14">
        <f>Lookups!$B$48*0.5</f>
        <v>87214.824999999997</v>
      </c>
      <c r="BV154" s="14">
        <f>Lookups!$B$48*0.5</f>
        <v>87214.824999999997</v>
      </c>
      <c r="BW154" s="14">
        <f>Lookups!$B$49*Sales[[#This Row],[LnAcres]]</f>
        <v>-32769.792695222328</v>
      </c>
      <c r="BX154" s="14">
        <f>VLOOKUP(Sales[[#This Row],[Qlty]],Lookups!$A$54:$E$67,2,FALSE)</f>
        <v>-14329.694740000001</v>
      </c>
      <c r="BY154" s="14">
        <f>VLOOKUP(Sales[[#This Row],[Cnd]],Lookups!$A$68:$E$76,2,FALSE)</f>
        <v>0</v>
      </c>
      <c r="BZ154" s="14">
        <f>Sales[[#This Row],[Age]]*Lookups!$B$77</f>
        <v>10886.23337</v>
      </c>
      <c r="CA154" s="14">
        <f>Sales[[#This Row],[MainFn]]*Lookups!$B$78</f>
        <v>98996.596747000003</v>
      </c>
      <c r="CB154" s="14">
        <f>Sales[[#This Row],[UpprFn]]*Lookups!$B$79</f>
        <v>0</v>
      </c>
      <c r="CC154" s="14">
        <f>Sales[[#This Row],[AddFn]]*Lookups!$B$80</f>
        <v>0</v>
      </c>
      <c r="CD154" s="14">
        <f>Sales[[#This Row],[Bsmt]]*Lookups!$B$81</f>
        <v>20598.233759999999</v>
      </c>
      <c r="CE154" s="14">
        <f>Sales[[#This Row],[Fixtures]]*Lookups!$B$84</f>
        <v>101551</v>
      </c>
      <c r="CF154" s="14">
        <f>Sales[[#This Row],[MsnryFP]]*Lookups!$B$82</f>
        <v>50547.245999999999</v>
      </c>
      <c r="CG154" s="14">
        <f>Sales[[#This Row],[PrefabFP]]*Lookups!$B$83</f>
        <v>0</v>
      </c>
      <c r="CH154" s="14">
        <f>Sales[[#This Row],[GarageArea]]*Lookups!$B$85</f>
        <v>33802.557499000002</v>
      </c>
      <c r="CI154" s="14">
        <f>SUM(Sales[[#This Row],[Days Prior Total]:[Mdl GarageArea]])</f>
        <v>433747.82394077763</v>
      </c>
      <c r="CJ154" s="14">
        <f>ROUND(Sales[[#This Row],[25Det]],-2)</f>
        <v>0</v>
      </c>
      <c r="CK154" s="14">
        <f>ROUND(SUM(Sales[[#This Row],[Mdl Qlty]:[Mdl GarageArea]])+Sales[[#This Row],[Mdl Res Intercept]]+Sales[[#This Row],[Days Prior Total]],-2)</f>
        <v>379300</v>
      </c>
      <c r="CL154" s="14">
        <f>ROUND(Sales[[#This Row],[Mdl Land Intercept]]+Sales[[#This Row],[Mdl LnAcres]],-2)</f>
        <v>54400</v>
      </c>
      <c r="CM154" s="14">
        <f>Sales[[#This Row],[Unadj Res Value]]+Sales[[#This Row],[Unadj Det Value]]+Sales[[#This Row],[Unadj Land Value]]</f>
        <v>433700</v>
      </c>
      <c r="CN154" s="15">
        <f>Sales[[#This Row],[Unadj Total Value]]/Sales[[#This Row],[Price]]</f>
        <v>1.0735148514851485</v>
      </c>
      <c r="CO154" s="15">
        <f>(Sales[[#This Row],[Unadj Total Value]]-Sales[[#This Row],[24Final]])/Sales[[#This Row],[24Final]]</f>
        <v>-4.5974483062032556E-2</v>
      </c>
      <c r="CP154">
        <f>VLOOKUP(Sales[[#This Row],[TNbhd]],Lookups!$M$2:$P$4,4,FALSE)</f>
        <v>0.97570000000000001</v>
      </c>
      <c r="CQ154">
        <f>VLOOKUP(Sales[[#This Row],[Qlty]],Lookups!$M$6:$P$20,4,FALSE)</f>
        <v>0.98809999999999998</v>
      </c>
      <c r="CR154">
        <f>VLOOKUP(Sales[[#This Row],[Cnd]],Lookups!$R$6:$U$15,4,FALSE)</f>
        <v>0.9677</v>
      </c>
      <c r="CS154">
        <f>VLOOKUP(Sales[[#This Row],[LivArea Range]],Lookups!$R$23:$U$39,4,FALSE)</f>
        <v>0.93440000000000001</v>
      </c>
      <c r="CT154">
        <f>VLOOKUP(Sales[[#This Row],[Decade]],Lookups!$M$23:$P$35,4,FALSE)</f>
        <v>0.97289999999999999</v>
      </c>
      <c r="CU154">
        <f>Sales[[#This Row],[Nbhd Adj]]*0.95</f>
        <v>0.92691499999999993</v>
      </c>
      <c r="CV154">
        <f>Sales[[#This Row],[Nbhd Adj]]*Sales[[#This Row],[Quality Adj]]*Sales[[#This Row],[Condition Adj]]*Sales[[#This Row],[Living Area Adj]]*Sales[[#This Row],[Decade Adj]]*0.95</f>
        <v>0.80571710531972429</v>
      </c>
      <c r="CW154">
        <f>ROUND(SUM(Sales[[#This Row],[Mdl Qlty]:[Mdl GarageArea]])+Sales[[#This Row],[Mdl Res Intercept]]*Sales[[#This Row],[Res Adj ]],-2)</f>
        <v>372300</v>
      </c>
      <c r="CX154">
        <f>ROUND(Sales[[#This Row],[25Det]]*Sales[[#This Row],[Det/Nbhd Adj]],-2)</f>
        <v>0</v>
      </c>
      <c r="CY154">
        <f>Sales[[#This Row],[Adjusted Res]]+Sales[[#This Row],[Adj Det ]]</f>
        <v>372300</v>
      </c>
      <c r="CZ154">
        <f>ROUND((Sales[[#This Row],[Mdl Land Intercept]]+Sales[[#This Row],[Mdl LnAcres]])*Sales[[#This Row],[Det/Nbhd Adj]],-2)</f>
        <v>50500</v>
      </c>
      <c r="DA154">
        <f>Sales[[#This Row],[Adjusted Impr Total]]+Sales[[#This Row],[Adjusted Land Total]]</f>
        <v>422800</v>
      </c>
      <c r="DB154">
        <f>IFERROR((Sales[[#This Row],[Adjusted Impr Total]]-Sales[[#This Row],[24Bldg]])/Sales[[#This Row],[24Bldg]],0)</f>
        <v>1.0586319218241042E-2</v>
      </c>
      <c r="DC154">
        <f>(Sales[[#This Row],[Adjusted Land Total]]-Sales[[#This Row],[24Lnd]])/Sales[[#This Row],[24Lnd]]</f>
        <v>-0.41415313225058004</v>
      </c>
      <c r="DD154">
        <f>(Sales[[#This Row],[Adjusted Total]]-Sales[[#This Row],[24Final]])/Sales[[#This Row],[24Final]]</f>
        <v>-6.9951605807303127E-2</v>
      </c>
      <c r="DE154">
        <f>(Sales[[#This Row],[Adjusted Total]]+Sales[[#This Row],[Days Prior Total]])/Sales[[#This Row],[Price]]</f>
        <v>1.0218707772277227</v>
      </c>
    </row>
    <row r="155" spans="1:109" x14ac:dyDescent="0.3">
      <c r="A155">
        <v>2025</v>
      </c>
      <c r="B155">
        <v>18131533415</v>
      </c>
      <c r="C155">
        <v>-1.6094379124341003</v>
      </c>
      <c r="D155">
        <v>0.2</v>
      </c>
      <c r="E155">
        <v>8649</v>
      </c>
      <c r="F155">
        <v>5</v>
      </c>
      <c r="G155" t="s">
        <v>89</v>
      </c>
      <c r="H155">
        <v>3042</v>
      </c>
      <c r="I155" t="s">
        <v>302</v>
      </c>
      <c r="J155" t="s">
        <v>26</v>
      </c>
      <c r="K155">
        <v>11</v>
      </c>
      <c r="L155">
        <v>259</v>
      </c>
      <c r="M155" t="s">
        <v>172</v>
      </c>
      <c r="N155" t="s">
        <v>257</v>
      </c>
      <c r="O155" t="s">
        <v>231</v>
      </c>
      <c r="P155">
        <v>1964</v>
      </c>
      <c r="Q155">
        <v>1975</v>
      </c>
      <c r="R155">
        <v>60</v>
      </c>
      <c r="S155">
        <v>60</v>
      </c>
      <c r="T155">
        <v>49</v>
      </c>
      <c r="U155">
        <v>1</v>
      </c>
      <c r="V155">
        <v>1344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1344</v>
      </c>
      <c r="AC155">
        <v>1500</v>
      </c>
      <c r="AD155">
        <v>1</v>
      </c>
      <c r="AE155" t="s">
        <v>5</v>
      </c>
      <c r="AF155" t="s">
        <v>275</v>
      </c>
      <c r="AG155" t="s">
        <v>111</v>
      </c>
      <c r="AH155" t="s">
        <v>314</v>
      </c>
      <c r="AI155">
        <v>0</v>
      </c>
      <c r="AJ155">
        <v>1</v>
      </c>
      <c r="AK155">
        <v>0</v>
      </c>
      <c r="AL155">
        <v>0</v>
      </c>
      <c r="AM155">
        <v>1</v>
      </c>
      <c r="AN155">
        <v>7</v>
      </c>
      <c r="AO155">
        <v>384</v>
      </c>
      <c r="AP155">
        <v>0</v>
      </c>
      <c r="AQ155">
        <v>384</v>
      </c>
      <c r="AR155">
        <v>0</v>
      </c>
      <c r="AS155">
        <v>468</v>
      </c>
      <c r="AT155">
        <v>0</v>
      </c>
      <c r="AU155">
        <v>0</v>
      </c>
      <c r="AV155">
        <v>100</v>
      </c>
      <c r="AW155">
        <v>100</v>
      </c>
      <c r="AX155">
        <v>218611</v>
      </c>
      <c r="AY155">
        <v>157400</v>
      </c>
      <c r="AZ155">
        <v>250</v>
      </c>
      <c r="BA155">
        <v>250</v>
      </c>
      <c r="BB155">
        <v>0</v>
      </c>
      <c r="BC155">
        <v>0</v>
      </c>
      <c r="BD155" s="6">
        <v>45042</v>
      </c>
      <c r="BE155" t="s">
        <v>52</v>
      </c>
      <c r="BF155">
        <v>330000</v>
      </c>
      <c r="BG155">
        <v>330000</v>
      </c>
      <c r="BH155" t="s">
        <v>198</v>
      </c>
      <c r="BI155">
        <v>30</v>
      </c>
      <c r="BJ155" t="s">
        <v>51</v>
      </c>
      <c r="BK155" t="s">
        <v>314</v>
      </c>
      <c r="BL155">
        <v>357900</v>
      </c>
      <c r="BM155">
        <v>69100</v>
      </c>
      <c r="BN155">
        <v>288800</v>
      </c>
      <c r="BO155">
        <v>0</v>
      </c>
      <c r="BP155">
        <v>1.0845454545454545</v>
      </c>
      <c r="BQ155">
        <v>314347.16928870761</v>
      </c>
      <c r="BR155">
        <v>353887.65996928292</v>
      </c>
      <c r="BS155" s="7">
        <f>(BR155-BL155)/BL155</f>
        <v>-1.1210785221338591E-2</v>
      </c>
      <c r="BT155" s="14">
        <f>(Sales[[#This Row],[DP1]]*Lookups!$B$51)+(Sales[[#This Row],[DP2]]*Lookups!$B$52)+(Sales[[#This Row],[DP3]]*Lookups!$B$53)</f>
        <v>-39540.5</v>
      </c>
      <c r="BU155" s="14">
        <f>Lookups!$B$48*0.5</f>
        <v>87214.824999999997</v>
      </c>
      <c r="BV155" s="14">
        <f>Lookups!$B$48*0.5</f>
        <v>87214.824999999997</v>
      </c>
      <c r="BW155" s="14">
        <f>Lookups!$B$49*Sales[[#This Row],[LnAcres]]</f>
        <v>-40280.764218962147</v>
      </c>
      <c r="BX155" s="14">
        <f>VLOOKUP(Sales[[#This Row],[Qlty]],Lookups!$A$54:$E$67,2,FALSE)</f>
        <v>0</v>
      </c>
      <c r="BY155" s="14">
        <f>VLOOKUP(Sales[[#This Row],[Cnd]],Lookups!$A$68:$E$76,2,FALSE)</f>
        <v>0</v>
      </c>
      <c r="BZ155" s="14">
        <f>Sales[[#This Row],[Age]]*Lookups!$B$77</f>
        <v>11070.745800000001</v>
      </c>
      <c r="CA155" s="14">
        <f>Sales[[#This Row],[MainFn]]*Lookups!$B$78</f>
        <v>92848.168896000003</v>
      </c>
      <c r="CB155" s="14">
        <f>Sales[[#This Row],[UpprFn]]*Lookups!$B$79</f>
        <v>0</v>
      </c>
      <c r="CC155" s="14">
        <f>Sales[[#This Row],[AddFn]]*Lookups!$B$80</f>
        <v>0</v>
      </c>
      <c r="CD155" s="14">
        <f>Sales[[#This Row],[Bsmt]]*Lookups!$B$81</f>
        <v>0</v>
      </c>
      <c r="CE155" s="14">
        <f>Sales[[#This Row],[Fixtures]]*Lookups!$B$84</f>
        <v>71085.7</v>
      </c>
      <c r="CF155" s="14">
        <f>Sales[[#This Row],[MsnryFP]]*Lookups!$B$82</f>
        <v>25273.623</v>
      </c>
      <c r="CG155" s="14">
        <f>Sales[[#This Row],[PrefabFP]]*Lookups!$B$83</f>
        <v>0</v>
      </c>
      <c r="CH155" s="14">
        <f>Sales[[#This Row],[GarageArea]]*Lookups!$B$85</f>
        <v>19460.542848000001</v>
      </c>
      <c r="CI155" s="14">
        <f>SUM(Sales[[#This Row],[Days Prior Total]:[Mdl GarageArea]])</f>
        <v>314347.16632503789</v>
      </c>
      <c r="CJ155" s="14">
        <f>ROUND(Sales[[#This Row],[25Det]],-2)</f>
        <v>0</v>
      </c>
      <c r="CK155" s="14">
        <f>ROUND(SUM(Sales[[#This Row],[Mdl Qlty]:[Mdl GarageArea]])+Sales[[#This Row],[Mdl Res Intercept]]+Sales[[#This Row],[Days Prior Total]],-2)</f>
        <v>267400</v>
      </c>
      <c r="CL155" s="14">
        <f>ROUND(Sales[[#This Row],[Mdl Land Intercept]]+Sales[[#This Row],[Mdl LnAcres]],-2)</f>
        <v>46900</v>
      </c>
      <c r="CM155" s="14">
        <f>Sales[[#This Row],[Unadj Res Value]]+Sales[[#This Row],[Unadj Det Value]]+Sales[[#This Row],[Unadj Land Value]]</f>
        <v>314300</v>
      </c>
      <c r="CN155" s="15">
        <f>Sales[[#This Row],[Unadj Total Value]]/Sales[[#This Row],[Price]]</f>
        <v>0.9524242424242424</v>
      </c>
      <c r="CO155" s="15">
        <f>(Sales[[#This Row],[Unadj Total Value]]-Sales[[#This Row],[24Final]])/Sales[[#This Row],[24Final]]</f>
        <v>-0.12182173791561889</v>
      </c>
      <c r="CP155">
        <f>VLOOKUP(Sales[[#This Row],[TNbhd]],Lookups!$M$2:$P$4,4,FALSE)</f>
        <v>0.97570000000000001</v>
      </c>
      <c r="CQ155">
        <f>VLOOKUP(Sales[[#This Row],[Qlty]],Lookups!$M$6:$P$20,4,FALSE)</f>
        <v>1.0046999999999999</v>
      </c>
      <c r="CR155">
        <f>VLOOKUP(Sales[[#This Row],[Cnd]],Lookups!$R$6:$U$15,4,FALSE)</f>
        <v>0.9677</v>
      </c>
      <c r="CS155">
        <f>VLOOKUP(Sales[[#This Row],[LivArea Range]],Lookups!$R$23:$U$39,4,FALSE)</f>
        <v>1.0062</v>
      </c>
      <c r="CT155">
        <f>VLOOKUP(Sales[[#This Row],[Decade]],Lookups!$M$23:$P$35,4,FALSE)</f>
        <v>0.97289999999999999</v>
      </c>
      <c r="CU155">
        <f>Sales[[#This Row],[Nbhd Adj]]*0.95</f>
        <v>0.92691499999999993</v>
      </c>
      <c r="CV155">
        <f>Sales[[#This Row],[Nbhd Adj]]*Sales[[#This Row],[Quality Adj]]*Sales[[#This Row],[Condition Adj]]*Sales[[#This Row],[Living Area Adj]]*Sales[[#This Row],[Decade Adj]]*0.95</f>
        <v>0.88220511194100004</v>
      </c>
      <c r="CW155">
        <f>ROUND(SUM(Sales[[#This Row],[Mdl Qlty]:[Mdl GarageArea]])+Sales[[#This Row],[Mdl Res Intercept]]*Sales[[#This Row],[Res Adj ]],-2)</f>
        <v>296700</v>
      </c>
      <c r="CX155">
        <f>ROUND(Sales[[#This Row],[25Det]]*Sales[[#This Row],[Det/Nbhd Adj]],-2)</f>
        <v>0</v>
      </c>
      <c r="CY155">
        <f>Sales[[#This Row],[Adjusted Res]]+Sales[[#This Row],[Adj Det ]]</f>
        <v>296700</v>
      </c>
      <c r="CZ155">
        <f>ROUND((Sales[[#This Row],[Mdl Land Intercept]]+Sales[[#This Row],[Mdl LnAcres]])*Sales[[#This Row],[Det/Nbhd Adj]],-2)</f>
        <v>43500</v>
      </c>
      <c r="DA155">
        <f>Sales[[#This Row],[Adjusted Impr Total]]+Sales[[#This Row],[Adjusted Land Total]]</f>
        <v>340200</v>
      </c>
      <c r="DB155">
        <f>IFERROR((Sales[[#This Row],[Adjusted Impr Total]]-Sales[[#This Row],[24Bldg]])/Sales[[#This Row],[24Bldg]],0)</f>
        <v>2.7354570637119113E-2</v>
      </c>
      <c r="DC155">
        <f>(Sales[[#This Row],[Adjusted Land Total]]-Sales[[#This Row],[24Lnd]])/Sales[[#This Row],[24Lnd]]</f>
        <v>-0.37047756874095511</v>
      </c>
      <c r="DD155">
        <f>(Sales[[#This Row],[Adjusted Total]]-Sales[[#This Row],[24Final]])/Sales[[#This Row],[24Final]]</f>
        <v>-4.9455155071248952E-2</v>
      </c>
      <c r="DE155">
        <f>(Sales[[#This Row],[Adjusted Total]]+Sales[[#This Row],[Days Prior Total]])/Sales[[#This Row],[Price]]</f>
        <v>0.91108939393939392</v>
      </c>
    </row>
    <row r="156" spans="1:109" x14ac:dyDescent="0.3">
      <c r="A156">
        <v>2025</v>
      </c>
      <c r="B156">
        <v>18131644535</v>
      </c>
      <c r="C156">
        <v>-1.3093333199837622</v>
      </c>
      <c r="D156">
        <v>0.27</v>
      </c>
      <c r="E156">
        <v>11716</v>
      </c>
      <c r="F156">
        <v>5</v>
      </c>
      <c r="G156" t="s">
        <v>89</v>
      </c>
      <c r="H156">
        <v>3042</v>
      </c>
      <c r="I156" t="s">
        <v>302</v>
      </c>
      <c r="J156" t="s">
        <v>26</v>
      </c>
      <c r="K156">
        <v>11</v>
      </c>
      <c r="L156">
        <v>400</v>
      </c>
      <c r="M156" t="s">
        <v>172</v>
      </c>
      <c r="N156" t="s">
        <v>111</v>
      </c>
      <c r="O156" t="s">
        <v>231</v>
      </c>
      <c r="P156">
        <v>1964</v>
      </c>
      <c r="Q156">
        <v>1975</v>
      </c>
      <c r="R156">
        <v>60</v>
      </c>
      <c r="S156">
        <v>60</v>
      </c>
      <c r="T156">
        <v>49</v>
      </c>
      <c r="U156">
        <v>1</v>
      </c>
      <c r="V156">
        <v>1630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1630</v>
      </c>
      <c r="AC156">
        <v>2000</v>
      </c>
      <c r="AD156">
        <v>2</v>
      </c>
      <c r="AE156" t="s">
        <v>5</v>
      </c>
      <c r="AF156" t="s">
        <v>275</v>
      </c>
      <c r="AG156" t="s">
        <v>111</v>
      </c>
      <c r="AH156" t="s">
        <v>314</v>
      </c>
      <c r="AI156">
        <v>0</v>
      </c>
      <c r="AJ156">
        <v>1</v>
      </c>
      <c r="AK156">
        <v>0</v>
      </c>
      <c r="AL156">
        <v>1</v>
      </c>
      <c r="AM156">
        <v>0</v>
      </c>
      <c r="AN156">
        <v>9</v>
      </c>
      <c r="AO156">
        <v>500</v>
      </c>
      <c r="AP156">
        <v>0</v>
      </c>
      <c r="AQ156">
        <v>500</v>
      </c>
      <c r="AR156">
        <v>0</v>
      </c>
      <c r="AS156">
        <v>0</v>
      </c>
      <c r="AT156">
        <v>0</v>
      </c>
      <c r="AU156">
        <v>0</v>
      </c>
      <c r="AV156">
        <v>100</v>
      </c>
      <c r="AW156">
        <v>100</v>
      </c>
      <c r="AX156">
        <v>337746</v>
      </c>
      <c r="AY156">
        <v>243177</v>
      </c>
      <c r="AZ156">
        <v>850</v>
      </c>
      <c r="BA156">
        <v>365</v>
      </c>
      <c r="BB156">
        <v>365</v>
      </c>
      <c r="BC156">
        <v>120</v>
      </c>
      <c r="BD156" s="6">
        <v>44442</v>
      </c>
      <c r="BE156" t="s">
        <v>157</v>
      </c>
      <c r="BF156">
        <v>315000</v>
      </c>
      <c r="BG156">
        <v>315000</v>
      </c>
      <c r="BH156" t="s">
        <v>198</v>
      </c>
      <c r="BI156">
        <v>30</v>
      </c>
      <c r="BJ156" t="s">
        <v>51</v>
      </c>
      <c r="BK156" t="s">
        <v>314</v>
      </c>
      <c r="BL156">
        <v>371400</v>
      </c>
      <c r="BM156">
        <v>86200</v>
      </c>
      <c r="BN156">
        <v>285200</v>
      </c>
      <c r="BO156">
        <v>0</v>
      </c>
      <c r="BP156">
        <v>1.1790476190476191</v>
      </c>
      <c r="BQ156">
        <v>332984.02782279049</v>
      </c>
      <c r="BR156">
        <v>393015.71077520103</v>
      </c>
      <c r="BS156" s="7">
        <f>(BR156-BL156)/BL156</f>
        <v>5.8200621365646299E-2</v>
      </c>
      <c r="BT156" s="14">
        <f>(Sales[[#This Row],[DP1]]*Lookups!$B$51)+(Sales[[#This Row],[DP2]]*Lookups!$B$52)+(Sales[[#This Row],[DP3]]*Lookups!$B$53)</f>
        <v>-60031.690710000003</v>
      </c>
      <c r="BU156" s="14">
        <f>Lookups!$B$48*0.5</f>
        <v>87214.824999999997</v>
      </c>
      <c r="BV156" s="14">
        <f>Lookups!$B$48*0.5</f>
        <v>87214.824999999997</v>
      </c>
      <c r="BW156" s="14">
        <f>Lookups!$B$49*Sales[[#This Row],[LnAcres]]</f>
        <v>-32769.792695222328</v>
      </c>
      <c r="BX156" s="14">
        <f>VLOOKUP(Sales[[#This Row],[Qlty]],Lookups!$A$54:$E$67,2,FALSE)</f>
        <v>-14329.694740000001</v>
      </c>
      <c r="BY156" s="14">
        <f>VLOOKUP(Sales[[#This Row],[Cnd]],Lookups!$A$68:$E$76,2,FALSE)</f>
        <v>0</v>
      </c>
      <c r="BZ156" s="14">
        <f>Sales[[#This Row],[Age]]*Lookups!$B$77</f>
        <v>11070.745800000001</v>
      </c>
      <c r="CA156" s="14">
        <f>Sales[[#This Row],[MainFn]]*Lookups!$B$78</f>
        <v>112606.03817000001</v>
      </c>
      <c r="CB156" s="14">
        <f>Sales[[#This Row],[UpprFn]]*Lookups!$B$79</f>
        <v>0</v>
      </c>
      <c r="CC156" s="14">
        <f>Sales[[#This Row],[AddFn]]*Lookups!$B$80</f>
        <v>0</v>
      </c>
      <c r="CD156" s="14">
        <f>Sales[[#This Row],[Bsmt]]*Lookups!$B$81</f>
        <v>0</v>
      </c>
      <c r="CE156" s="14">
        <f>Sales[[#This Row],[Fixtures]]*Lookups!$B$84</f>
        <v>91395.900000000009</v>
      </c>
      <c r="CF156" s="14">
        <f>Sales[[#This Row],[MsnryFP]]*Lookups!$B$82</f>
        <v>25273.623</v>
      </c>
      <c r="CG156" s="14">
        <f>Sales[[#This Row],[PrefabFP]]*Lookups!$B$83</f>
        <v>0</v>
      </c>
      <c r="CH156" s="14">
        <f>Sales[[#This Row],[GarageArea]]*Lookups!$B$85</f>
        <v>25339.248500000002</v>
      </c>
      <c r="CI156" s="14">
        <f>SUM(Sales[[#This Row],[Days Prior Total]:[Mdl GarageArea]])</f>
        <v>332984.02732477768</v>
      </c>
      <c r="CJ156" s="14">
        <f>ROUND(Sales[[#This Row],[25Det]],-2)</f>
        <v>0</v>
      </c>
      <c r="CK156" s="14">
        <f>ROUND(SUM(Sales[[#This Row],[Mdl Qlty]:[Mdl GarageArea]])+Sales[[#This Row],[Mdl Res Intercept]]+Sales[[#This Row],[Days Prior Total]],-2)</f>
        <v>278500</v>
      </c>
      <c r="CL156" s="14">
        <f>ROUND(Sales[[#This Row],[Mdl Land Intercept]]+Sales[[#This Row],[Mdl LnAcres]],-2)</f>
        <v>54400</v>
      </c>
      <c r="CM156" s="14">
        <f>Sales[[#This Row],[Unadj Res Value]]+Sales[[#This Row],[Unadj Det Value]]+Sales[[#This Row],[Unadj Land Value]]</f>
        <v>332900</v>
      </c>
      <c r="CN156" s="15">
        <f>Sales[[#This Row],[Unadj Total Value]]/Sales[[#This Row],[Price]]</f>
        <v>1.0568253968253969</v>
      </c>
      <c r="CO156" s="15">
        <f>(Sales[[#This Row],[Unadj Total Value]]-Sales[[#This Row],[24Final]])/Sales[[#This Row],[24Final]]</f>
        <v>-0.10366182014001077</v>
      </c>
      <c r="CP156">
        <f>VLOOKUP(Sales[[#This Row],[TNbhd]],Lookups!$M$2:$P$4,4,FALSE)</f>
        <v>0.97570000000000001</v>
      </c>
      <c r="CQ156">
        <f>VLOOKUP(Sales[[#This Row],[Qlty]],Lookups!$M$6:$P$20,4,FALSE)</f>
        <v>0.98809999999999998</v>
      </c>
      <c r="CR156">
        <f>VLOOKUP(Sales[[#This Row],[Cnd]],Lookups!$R$6:$U$15,4,FALSE)</f>
        <v>0.9677</v>
      </c>
      <c r="CS156">
        <f>VLOOKUP(Sales[[#This Row],[LivArea Range]],Lookups!$R$23:$U$39,4,FALSE)</f>
        <v>0.99099999999999999</v>
      </c>
      <c r="CT156">
        <f>VLOOKUP(Sales[[#This Row],[Decade]],Lookups!$M$23:$P$35,4,FALSE)</f>
        <v>0.97289999999999999</v>
      </c>
      <c r="CU156">
        <f>Sales[[#This Row],[Nbhd Adj]]*0.95</f>
        <v>0.92691499999999993</v>
      </c>
      <c r="CV156">
        <f>Sales[[#This Row],[Nbhd Adj]]*Sales[[#This Row],[Quality Adj]]*Sales[[#This Row],[Condition Adj]]*Sales[[#This Row],[Living Area Adj]]*Sales[[#This Row],[Decade Adj]]*0.95</f>
        <v>0.85452231525240441</v>
      </c>
      <c r="CW156">
        <f>ROUND(SUM(Sales[[#This Row],[Mdl Qlty]:[Mdl GarageArea]])+Sales[[#This Row],[Mdl Res Intercept]]*Sales[[#This Row],[Res Adj ]],-2)</f>
        <v>325900</v>
      </c>
      <c r="CX156">
        <f>ROUND(Sales[[#This Row],[25Det]]*Sales[[#This Row],[Det/Nbhd Adj]],-2)</f>
        <v>0</v>
      </c>
      <c r="CY156">
        <f>Sales[[#This Row],[Adjusted Res]]+Sales[[#This Row],[Adj Det ]]</f>
        <v>325900</v>
      </c>
      <c r="CZ156">
        <f>ROUND((Sales[[#This Row],[Mdl Land Intercept]]+Sales[[#This Row],[Mdl LnAcres]])*Sales[[#This Row],[Det/Nbhd Adj]],-2)</f>
        <v>50500</v>
      </c>
      <c r="DA156">
        <f>Sales[[#This Row],[Adjusted Impr Total]]+Sales[[#This Row],[Adjusted Land Total]]</f>
        <v>376400</v>
      </c>
      <c r="DB156">
        <f>IFERROR((Sales[[#This Row],[Adjusted Impr Total]]-Sales[[#This Row],[24Bldg]])/Sales[[#This Row],[24Bldg]],0)</f>
        <v>0.14270687237026647</v>
      </c>
      <c r="DC156">
        <f>(Sales[[#This Row],[Adjusted Land Total]]-Sales[[#This Row],[24Lnd]])/Sales[[#This Row],[24Lnd]]</f>
        <v>-0.41415313225058004</v>
      </c>
      <c r="DD156">
        <f>(Sales[[#This Row],[Adjusted Total]]-Sales[[#This Row],[24Final]])/Sales[[#This Row],[24Final]]</f>
        <v>1.3462574044157244E-2</v>
      </c>
      <c r="DE156">
        <f>(Sales[[#This Row],[Adjusted Total]]+Sales[[#This Row],[Days Prior Total]])/Sales[[#This Row],[Price]]</f>
        <v>1.004343839015873</v>
      </c>
    </row>
    <row r="157" spans="1:109" x14ac:dyDescent="0.3">
      <c r="A157">
        <v>2025</v>
      </c>
      <c r="B157">
        <v>18131634412</v>
      </c>
      <c r="C157">
        <v>-0.19845093872383832</v>
      </c>
      <c r="D157">
        <v>0.82</v>
      </c>
      <c r="E157">
        <v>35756</v>
      </c>
      <c r="F157">
        <v>5</v>
      </c>
      <c r="G157" t="s">
        <v>89</v>
      </c>
      <c r="H157" t="s">
        <v>203</v>
      </c>
      <c r="I157" t="s">
        <v>302</v>
      </c>
      <c r="J157" t="s">
        <v>26</v>
      </c>
      <c r="K157">
        <v>11</v>
      </c>
      <c r="L157">
        <v>259</v>
      </c>
      <c r="M157" t="s">
        <v>172</v>
      </c>
      <c r="N157" t="s">
        <v>189</v>
      </c>
      <c r="O157" t="s">
        <v>76</v>
      </c>
      <c r="P157">
        <v>1964</v>
      </c>
      <c r="Q157">
        <v>2010</v>
      </c>
      <c r="R157">
        <v>60</v>
      </c>
      <c r="S157">
        <v>60</v>
      </c>
      <c r="T157">
        <v>14</v>
      </c>
      <c r="U157">
        <v>1</v>
      </c>
      <c r="V157">
        <v>3284</v>
      </c>
      <c r="W157">
        <v>0</v>
      </c>
      <c r="X157">
        <v>0</v>
      </c>
      <c r="Y157">
        <v>1650</v>
      </c>
      <c r="Z157">
        <v>1650</v>
      </c>
      <c r="AA157">
        <v>0</v>
      </c>
      <c r="AB157">
        <v>4934</v>
      </c>
      <c r="AC157">
        <v>5000</v>
      </c>
      <c r="AD157">
        <v>2</v>
      </c>
      <c r="AE157" t="s">
        <v>5</v>
      </c>
      <c r="AF157" t="s">
        <v>153</v>
      </c>
      <c r="AG157" t="s">
        <v>111</v>
      </c>
      <c r="AI157">
        <v>0</v>
      </c>
      <c r="AJ157">
        <v>2</v>
      </c>
      <c r="AK157">
        <v>2</v>
      </c>
      <c r="AL157">
        <v>1</v>
      </c>
      <c r="AM157">
        <v>1</v>
      </c>
      <c r="AN157">
        <v>17</v>
      </c>
      <c r="AO157">
        <v>586</v>
      </c>
      <c r="AP157">
        <v>0</v>
      </c>
      <c r="AQ157">
        <v>586</v>
      </c>
      <c r="AR157">
        <v>0</v>
      </c>
      <c r="AS157">
        <v>0</v>
      </c>
      <c r="AT157">
        <v>463</v>
      </c>
      <c r="AU157">
        <v>0</v>
      </c>
      <c r="AV157">
        <v>100</v>
      </c>
      <c r="AW157">
        <v>100</v>
      </c>
      <c r="AX157">
        <v>1071859</v>
      </c>
      <c r="AY157">
        <v>1050422</v>
      </c>
      <c r="AZ157">
        <v>941</v>
      </c>
      <c r="BA157">
        <v>365</v>
      </c>
      <c r="BB157">
        <v>365</v>
      </c>
      <c r="BC157">
        <v>211</v>
      </c>
      <c r="BD157" s="6">
        <v>44351</v>
      </c>
      <c r="BE157" t="s">
        <v>125</v>
      </c>
      <c r="BF157">
        <v>1135000</v>
      </c>
      <c r="BG157">
        <v>1088461</v>
      </c>
      <c r="BH157" t="s">
        <v>198</v>
      </c>
      <c r="BI157">
        <v>30</v>
      </c>
      <c r="BJ157" t="s">
        <v>51</v>
      </c>
      <c r="BK157" t="s">
        <v>314</v>
      </c>
      <c r="BL157">
        <v>1057100</v>
      </c>
      <c r="BM157">
        <v>150000</v>
      </c>
      <c r="BN157">
        <v>907100</v>
      </c>
      <c r="BO157">
        <v>46539</v>
      </c>
      <c r="BP157">
        <v>0.93136563876651979</v>
      </c>
      <c r="BQ157">
        <v>978864.27354649012</v>
      </c>
      <c r="BR157">
        <v>1066977.2868871631</v>
      </c>
      <c r="BS157" s="7">
        <f>(BR157-BL157)/BL157</f>
        <v>9.3437582888686622E-3</v>
      </c>
      <c r="BT157" s="14">
        <f>(Sales[[#This Row],[DP1]]*Lookups!$B$51)+(Sales[[#This Row],[DP2]]*Lookups!$B$52)+(Sales[[#This Row],[DP3]]*Lookups!$B$53)</f>
        <v>-88113.016709999996</v>
      </c>
      <c r="BU157" s="14">
        <f>Lookups!$B$48*0.5</f>
        <v>87214.824999999997</v>
      </c>
      <c r="BV157" s="14">
        <f>Lookups!$B$48*0.5</f>
        <v>87214.824999999997</v>
      </c>
      <c r="BW157" s="14">
        <f>Lookups!$B$49*Sales[[#This Row],[LnAcres]]</f>
        <v>-4966.7995329356618</v>
      </c>
      <c r="BX157" s="14">
        <f>VLOOKUP(Sales[[#This Row],[Qlty]],Lookups!$A$54:$E$67,2,FALSE)</f>
        <v>141724.10243</v>
      </c>
      <c r="BY157" s="14">
        <f>VLOOKUP(Sales[[#This Row],[Cnd]],Lookups!$A$68:$E$76,2,FALSE)</f>
        <v>133581.64413</v>
      </c>
      <c r="BZ157" s="14">
        <f>Sales[[#This Row],[Age]]*Lookups!$B$77</f>
        <v>11070.745800000001</v>
      </c>
      <c r="CA157" s="14">
        <f>Sales[[#This Row],[MainFn]]*Lookups!$B$78</f>
        <v>226870.079356</v>
      </c>
      <c r="CB157" s="14">
        <f>Sales[[#This Row],[UpprFn]]*Lookups!$B$79</f>
        <v>0</v>
      </c>
      <c r="CC157" s="14">
        <f>Sales[[#This Row],[AddFn]]*Lookups!$B$80</f>
        <v>0</v>
      </c>
      <c r="CD157" s="14">
        <f>Sales[[#This Row],[Bsmt]]*Lookups!$B$81</f>
        <v>47204.2857</v>
      </c>
      <c r="CE157" s="14">
        <f>Sales[[#This Row],[Fixtures]]*Lookups!$B$84</f>
        <v>172636.7</v>
      </c>
      <c r="CF157" s="14">
        <f>Sales[[#This Row],[MsnryFP]]*Lookups!$B$82</f>
        <v>50547.245999999999</v>
      </c>
      <c r="CG157" s="14">
        <f>Sales[[#This Row],[PrefabFP]]*Lookups!$B$83</f>
        <v>84182.043999999994</v>
      </c>
      <c r="CH157" s="14">
        <f>Sales[[#This Row],[GarageArea]]*Lookups!$B$85</f>
        <v>29697.599242</v>
      </c>
      <c r="CI157" s="14">
        <f>SUM(Sales[[#This Row],[Days Prior Total]:[Mdl GarageArea]])</f>
        <v>978864.28041506431</v>
      </c>
      <c r="CJ157" s="14">
        <f>ROUND(Sales[[#This Row],[25Det]],-2)</f>
        <v>46500</v>
      </c>
      <c r="CK157" s="14">
        <f>ROUND(SUM(Sales[[#This Row],[Mdl Qlty]:[Mdl GarageArea]])+Sales[[#This Row],[Mdl Res Intercept]]+Sales[[#This Row],[Days Prior Total]],-2)</f>
        <v>896600</v>
      </c>
      <c r="CL157" s="14">
        <f>ROUND(Sales[[#This Row],[Mdl Land Intercept]]+Sales[[#This Row],[Mdl LnAcres]],-2)</f>
        <v>82200</v>
      </c>
      <c r="CM157" s="14">
        <f>Sales[[#This Row],[Unadj Res Value]]+Sales[[#This Row],[Unadj Det Value]]+Sales[[#This Row],[Unadj Land Value]]</f>
        <v>1025300</v>
      </c>
      <c r="CN157" s="15">
        <f>Sales[[#This Row],[Unadj Total Value]]/Sales[[#This Row],[Price]]</f>
        <v>0.90334801762114536</v>
      </c>
      <c r="CO157" s="15">
        <f>(Sales[[#This Row],[Unadj Total Value]]-Sales[[#This Row],[24Final]])/Sales[[#This Row],[24Final]]</f>
        <v>-3.008230063380948E-2</v>
      </c>
      <c r="CP157">
        <f>VLOOKUP(Sales[[#This Row],[TNbhd]],Lookups!$M$2:$P$4,4,FALSE)</f>
        <v>0.97570000000000001</v>
      </c>
      <c r="CQ157">
        <f>VLOOKUP(Sales[[#This Row],[Qlty]],Lookups!$M$6:$P$20,4,FALSE)</f>
        <v>1.0051000000000001</v>
      </c>
      <c r="CR157">
        <f>VLOOKUP(Sales[[#This Row],[Cnd]],Lookups!$R$6:$U$15,4,FALSE)</f>
        <v>0.98370000000000002</v>
      </c>
      <c r="CS157">
        <f>VLOOKUP(Sales[[#This Row],[LivArea Range]],Lookups!$R$23:$U$39,4,FALSE)</f>
        <v>1.0048999999999999</v>
      </c>
      <c r="CT157">
        <f>VLOOKUP(Sales[[#This Row],[Decade]],Lookups!$M$23:$P$35,4,FALSE)</f>
        <v>0.97289999999999999</v>
      </c>
      <c r="CU157">
        <f>Sales[[#This Row],[Nbhd Adj]]*0.95</f>
        <v>0.92691499999999993</v>
      </c>
      <c r="CV157">
        <f>Sales[[#This Row],[Nbhd Adj]]*Sales[[#This Row],[Quality Adj]]*Sales[[#This Row],[Condition Adj]]*Sales[[#This Row],[Living Area Adj]]*Sales[[#This Row],[Decade Adj]]*0.95</f>
        <v>0.89598946705199511</v>
      </c>
      <c r="CW157">
        <f>ROUND(SUM(Sales[[#This Row],[Mdl Qlty]:[Mdl GarageArea]])+Sales[[#This Row],[Mdl Res Intercept]]*Sales[[#This Row],[Res Adj ]],-2)</f>
        <v>975700</v>
      </c>
      <c r="CX157">
        <f>ROUND(Sales[[#This Row],[25Det]]*Sales[[#This Row],[Det/Nbhd Adj]],-2)</f>
        <v>43100</v>
      </c>
      <c r="CY157">
        <f>Sales[[#This Row],[Adjusted Res]]+Sales[[#This Row],[Adj Det ]]</f>
        <v>1018800</v>
      </c>
      <c r="CZ157">
        <f>ROUND((Sales[[#This Row],[Mdl Land Intercept]]+Sales[[#This Row],[Mdl LnAcres]])*Sales[[#This Row],[Det/Nbhd Adj]],-2)</f>
        <v>76200</v>
      </c>
      <c r="DA157">
        <f>Sales[[#This Row],[Adjusted Impr Total]]+Sales[[#This Row],[Adjusted Land Total]]</f>
        <v>1095000</v>
      </c>
      <c r="DB157">
        <f>IFERROR((Sales[[#This Row],[Adjusted Impr Total]]-Sales[[#This Row],[24Bldg]])/Sales[[#This Row],[24Bldg]],0)</f>
        <v>0.12313967589019954</v>
      </c>
      <c r="DC157">
        <f>(Sales[[#This Row],[Adjusted Land Total]]-Sales[[#This Row],[24Lnd]])/Sales[[#This Row],[24Lnd]]</f>
        <v>-0.49199999999999999</v>
      </c>
      <c r="DD157">
        <f>(Sales[[#This Row],[Adjusted Total]]-Sales[[#This Row],[24Final]])/Sales[[#This Row],[24Final]]</f>
        <v>3.5852804843439598E-2</v>
      </c>
      <c r="DE157">
        <f>(Sales[[#This Row],[Adjusted Total]]+Sales[[#This Row],[Days Prior Total]])/Sales[[#This Row],[Price]]</f>
        <v>0.88712509540969164</v>
      </c>
    </row>
    <row r="158" spans="1:109" x14ac:dyDescent="0.3">
      <c r="A158">
        <v>2025</v>
      </c>
      <c r="B158">
        <v>18131644493</v>
      </c>
      <c r="C158">
        <v>-1.5141277326297755</v>
      </c>
      <c r="D158">
        <v>0.22</v>
      </c>
      <c r="E158">
        <v>9782</v>
      </c>
      <c r="F158">
        <v>5</v>
      </c>
      <c r="G158" t="s">
        <v>89</v>
      </c>
      <c r="H158">
        <v>3042</v>
      </c>
      <c r="I158" t="s">
        <v>302</v>
      </c>
      <c r="J158" t="s">
        <v>26</v>
      </c>
      <c r="K158">
        <v>11</v>
      </c>
      <c r="L158">
        <v>259</v>
      </c>
      <c r="M158" t="s">
        <v>172</v>
      </c>
      <c r="N158" t="s">
        <v>205</v>
      </c>
      <c r="O158" t="s">
        <v>231</v>
      </c>
      <c r="P158">
        <v>1963</v>
      </c>
      <c r="Q158">
        <v>1975</v>
      </c>
      <c r="R158">
        <v>70</v>
      </c>
      <c r="S158">
        <v>61</v>
      </c>
      <c r="T158">
        <v>49</v>
      </c>
      <c r="U158">
        <v>1</v>
      </c>
      <c r="V158">
        <v>1347</v>
      </c>
      <c r="W158">
        <v>0</v>
      </c>
      <c r="X158">
        <v>0</v>
      </c>
      <c r="Y158">
        <v>1116</v>
      </c>
      <c r="Z158">
        <v>1116</v>
      </c>
      <c r="AA158">
        <v>0</v>
      </c>
      <c r="AB158">
        <v>2463</v>
      </c>
      <c r="AC158">
        <v>2500</v>
      </c>
      <c r="AD158">
        <v>2</v>
      </c>
      <c r="AF158" t="s">
        <v>275</v>
      </c>
      <c r="AG158" t="s">
        <v>111</v>
      </c>
      <c r="AH158" t="s">
        <v>314</v>
      </c>
      <c r="AI158">
        <v>0</v>
      </c>
      <c r="AJ158">
        <v>0</v>
      </c>
      <c r="AK158">
        <v>1</v>
      </c>
      <c r="AL158">
        <v>1</v>
      </c>
      <c r="AM158">
        <v>0</v>
      </c>
      <c r="AN158">
        <v>11</v>
      </c>
      <c r="AO158">
        <v>515</v>
      </c>
      <c r="AP158">
        <v>0</v>
      </c>
      <c r="AQ158">
        <v>515</v>
      </c>
      <c r="AR158">
        <v>0</v>
      </c>
      <c r="AS158">
        <v>300</v>
      </c>
      <c r="AT158">
        <v>0</v>
      </c>
      <c r="AU158">
        <v>0</v>
      </c>
      <c r="AV158">
        <v>100</v>
      </c>
      <c r="AW158">
        <v>100</v>
      </c>
      <c r="AX158">
        <v>355308</v>
      </c>
      <c r="AY158">
        <v>255822</v>
      </c>
      <c r="AZ158">
        <v>872</v>
      </c>
      <c r="BA158">
        <v>365</v>
      </c>
      <c r="BB158">
        <v>365</v>
      </c>
      <c r="BC158">
        <v>142</v>
      </c>
      <c r="BD158" s="6">
        <v>44420</v>
      </c>
      <c r="BE158" t="s">
        <v>6</v>
      </c>
      <c r="BF158">
        <v>385000</v>
      </c>
      <c r="BG158">
        <v>385000</v>
      </c>
      <c r="BH158" t="s">
        <v>198</v>
      </c>
      <c r="BI158">
        <v>30</v>
      </c>
      <c r="BJ158" t="s">
        <v>51</v>
      </c>
      <c r="BK158" t="s">
        <v>314</v>
      </c>
      <c r="BL158">
        <v>387200</v>
      </c>
      <c r="BM158">
        <v>74500</v>
      </c>
      <c r="BN158">
        <v>312700</v>
      </c>
      <c r="BO158">
        <v>0</v>
      </c>
      <c r="BP158">
        <v>1.0057142857142858</v>
      </c>
      <c r="BQ158">
        <v>355534.5311669957</v>
      </c>
      <c r="BR158">
        <v>422355.10718030488</v>
      </c>
      <c r="BS158" s="7">
        <f>(BR158-BL158)/BL158</f>
        <v>9.0793148709465088E-2</v>
      </c>
      <c r="BT158" s="14">
        <f>(Sales[[#This Row],[DP1]]*Lookups!$B$51)+(Sales[[#This Row],[DP2]]*Lookups!$B$52)+(Sales[[#This Row],[DP3]]*Lookups!$B$53)</f>
        <v>-66820.582710000002</v>
      </c>
      <c r="BU158" s="14">
        <f>Lookups!$B$48*0.5</f>
        <v>87214.824999999997</v>
      </c>
      <c r="BV158" s="14">
        <f>Lookups!$B$48*0.5</f>
        <v>87214.824999999997</v>
      </c>
      <c r="BW158" s="14">
        <f>Lookups!$B$49*Sales[[#This Row],[LnAcres]]</f>
        <v>-37895.355716587197</v>
      </c>
      <c r="BX158" s="14">
        <f>VLOOKUP(Sales[[#This Row],[Qlty]],Lookups!$A$54:$E$67,2,FALSE)</f>
        <v>30313.66692</v>
      </c>
      <c r="BY158" s="14">
        <f>VLOOKUP(Sales[[#This Row],[Cnd]],Lookups!$A$68:$E$76,2,FALSE)</f>
        <v>0</v>
      </c>
      <c r="BZ158" s="14">
        <f>Sales[[#This Row],[Age]]*Lookups!$B$77</f>
        <v>11255.258229999999</v>
      </c>
      <c r="CA158" s="14">
        <f>Sales[[#This Row],[MainFn]]*Lookups!$B$78</f>
        <v>93055.419273000007</v>
      </c>
      <c r="CB158" s="14">
        <f>Sales[[#This Row],[UpprFn]]*Lookups!$B$79</f>
        <v>0</v>
      </c>
      <c r="CC158" s="14">
        <f>Sales[[#This Row],[AddFn]]*Lookups!$B$80</f>
        <v>0</v>
      </c>
      <c r="CD158" s="14">
        <f>Sales[[#This Row],[Bsmt]]*Lookups!$B$81</f>
        <v>31927.262327999997</v>
      </c>
      <c r="CE158" s="14">
        <f>Sales[[#This Row],[Fixtures]]*Lookups!$B$84</f>
        <v>111706.1</v>
      </c>
      <c r="CF158" s="14">
        <f>Sales[[#This Row],[MsnryFP]]*Lookups!$B$82</f>
        <v>0</v>
      </c>
      <c r="CG158" s="14">
        <f>Sales[[#This Row],[PrefabFP]]*Lookups!$B$83</f>
        <v>42091.021999999997</v>
      </c>
      <c r="CH158" s="14">
        <f>Sales[[#This Row],[GarageArea]]*Lookups!$B$85</f>
        <v>26099.425954999999</v>
      </c>
      <c r="CI158" s="14">
        <f>SUM(Sales[[#This Row],[Days Prior Total]:[Mdl GarageArea]])</f>
        <v>416161.86627941276</v>
      </c>
      <c r="CJ158" s="14">
        <f>ROUND(Sales[[#This Row],[25Det]],-2)</f>
        <v>0</v>
      </c>
      <c r="CK158" s="14">
        <f>ROUND(SUM(Sales[[#This Row],[Mdl Qlty]:[Mdl GarageArea]])+Sales[[#This Row],[Mdl Res Intercept]]+Sales[[#This Row],[Days Prior Total]],-2)</f>
        <v>366800</v>
      </c>
      <c r="CL158" s="14">
        <f>ROUND(Sales[[#This Row],[Mdl Land Intercept]]+Sales[[#This Row],[Mdl LnAcres]],-2)</f>
        <v>49300</v>
      </c>
      <c r="CM158" s="14">
        <f>Sales[[#This Row],[Unadj Res Value]]+Sales[[#This Row],[Unadj Det Value]]+Sales[[#This Row],[Unadj Land Value]]</f>
        <v>416100</v>
      </c>
      <c r="CN158" s="15">
        <f>Sales[[#This Row],[Unadj Total Value]]/Sales[[#This Row],[Price]]</f>
        <v>1.0807792207792208</v>
      </c>
      <c r="CO158" s="15">
        <f>(Sales[[#This Row],[Unadj Total Value]]-Sales[[#This Row],[24Final]])/Sales[[#This Row],[24Final]]</f>
        <v>7.463842975206611E-2</v>
      </c>
      <c r="CP158">
        <f>VLOOKUP(Sales[[#This Row],[TNbhd]],Lookups!$M$2:$P$4,4,FALSE)</f>
        <v>0.97570000000000001</v>
      </c>
      <c r="CQ158">
        <f>VLOOKUP(Sales[[#This Row],[Qlty]],Lookups!$M$6:$P$20,4,FALSE)</f>
        <v>0.85299999999999998</v>
      </c>
      <c r="CR158">
        <f>VLOOKUP(Sales[[#This Row],[Cnd]],Lookups!$R$6:$U$15,4,FALSE)</f>
        <v>0.9677</v>
      </c>
      <c r="CS158">
        <f>VLOOKUP(Sales[[#This Row],[LivArea Range]],Lookups!$R$23:$U$39,4,FALSE)</f>
        <v>0.93440000000000001</v>
      </c>
      <c r="CT158">
        <f>VLOOKUP(Sales[[#This Row],[Decade]],Lookups!$M$23:$P$35,4,FALSE)</f>
        <v>0.95089999999999997</v>
      </c>
      <c r="CU158">
        <f>Sales[[#This Row],[Nbhd Adj]]*0.95</f>
        <v>0.92691499999999993</v>
      </c>
      <c r="CV158">
        <f>Sales[[#This Row],[Nbhd Adj]]*Sales[[#This Row],[Quality Adj]]*Sales[[#This Row],[Condition Adj]]*Sales[[#This Row],[Living Area Adj]]*Sales[[#This Row],[Decade Adj]]*0.95</f>
        <v>0.67982535737574656</v>
      </c>
      <c r="CW158">
        <f>ROUND(SUM(Sales[[#This Row],[Mdl Qlty]:[Mdl GarageArea]])+Sales[[#This Row],[Mdl Res Intercept]]*Sales[[#This Row],[Res Adj ]],-2)</f>
        <v>405700</v>
      </c>
      <c r="CX158">
        <f>ROUND(Sales[[#This Row],[25Det]]*Sales[[#This Row],[Det/Nbhd Adj]],-2)</f>
        <v>0</v>
      </c>
      <c r="CY158">
        <f>Sales[[#This Row],[Adjusted Res]]+Sales[[#This Row],[Adj Det ]]</f>
        <v>405700</v>
      </c>
      <c r="CZ158">
        <f>ROUND((Sales[[#This Row],[Mdl Land Intercept]]+Sales[[#This Row],[Mdl LnAcres]])*Sales[[#This Row],[Det/Nbhd Adj]],-2)</f>
        <v>45700</v>
      </c>
      <c r="DA158">
        <f>Sales[[#This Row],[Adjusted Impr Total]]+Sales[[#This Row],[Adjusted Land Total]]</f>
        <v>451400</v>
      </c>
      <c r="DB158">
        <f>IFERROR((Sales[[#This Row],[Adjusted Impr Total]]-Sales[[#This Row],[24Bldg]])/Sales[[#This Row],[24Bldg]],0)</f>
        <v>0.29740965781899587</v>
      </c>
      <c r="DC158">
        <f>(Sales[[#This Row],[Adjusted Land Total]]-Sales[[#This Row],[24Lnd]])/Sales[[#This Row],[24Lnd]]</f>
        <v>-0.38657718120805368</v>
      </c>
      <c r="DD158">
        <f>(Sales[[#This Row],[Adjusted Total]]-Sales[[#This Row],[24Final]])/Sales[[#This Row],[24Final]]</f>
        <v>0.16580578512396693</v>
      </c>
      <c r="DE158">
        <f>(Sales[[#This Row],[Adjusted Total]]+Sales[[#This Row],[Days Prior Total]])/Sales[[#This Row],[Price]]</f>
        <v>0.99890757737662339</v>
      </c>
    </row>
    <row r="159" spans="1:109" x14ac:dyDescent="0.3">
      <c r="A159">
        <v>2025</v>
      </c>
      <c r="B159">
        <v>18131644493</v>
      </c>
      <c r="C159">
        <v>-1.5141277326297755</v>
      </c>
      <c r="D159">
        <v>0.22</v>
      </c>
      <c r="E159">
        <v>9782</v>
      </c>
      <c r="F159">
        <v>5</v>
      </c>
      <c r="G159" t="s">
        <v>89</v>
      </c>
      <c r="H159">
        <v>3042</v>
      </c>
      <c r="I159" t="s">
        <v>302</v>
      </c>
      <c r="J159" t="s">
        <v>26</v>
      </c>
      <c r="K159">
        <v>11</v>
      </c>
      <c r="L159">
        <v>259</v>
      </c>
      <c r="M159" t="s">
        <v>172</v>
      </c>
      <c r="N159" t="s">
        <v>205</v>
      </c>
      <c r="O159" t="s">
        <v>207</v>
      </c>
      <c r="P159">
        <v>1963</v>
      </c>
      <c r="Q159">
        <v>1975</v>
      </c>
      <c r="R159">
        <v>70</v>
      </c>
      <c r="S159">
        <v>61</v>
      </c>
      <c r="T159">
        <v>49</v>
      </c>
      <c r="U159">
        <v>1</v>
      </c>
      <c r="V159">
        <v>1347</v>
      </c>
      <c r="W159">
        <v>0</v>
      </c>
      <c r="X159">
        <v>0</v>
      </c>
      <c r="Y159">
        <v>1116</v>
      </c>
      <c r="Z159">
        <v>1116</v>
      </c>
      <c r="AA159">
        <v>0</v>
      </c>
      <c r="AB159">
        <v>2463</v>
      </c>
      <c r="AC159">
        <v>2500</v>
      </c>
      <c r="AD159">
        <v>2</v>
      </c>
      <c r="AF159" t="s">
        <v>275</v>
      </c>
      <c r="AG159" t="s">
        <v>111</v>
      </c>
      <c r="AH159" t="s">
        <v>314</v>
      </c>
      <c r="AI159">
        <v>0</v>
      </c>
      <c r="AJ159">
        <v>0</v>
      </c>
      <c r="AK159">
        <v>1</v>
      </c>
      <c r="AL159">
        <v>1</v>
      </c>
      <c r="AM159">
        <v>0</v>
      </c>
      <c r="AN159">
        <v>11</v>
      </c>
      <c r="AO159">
        <v>515</v>
      </c>
      <c r="AP159">
        <v>0</v>
      </c>
      <c r="AQ159">
        <v>515</v>
      </c>
      <c r="AR159">
        <v>0</v>
      </c>
      <c r="AS159">
        <v>300</v>
      </c>
      <c r="AT159">
        <v>0</v>
      </c>
      <c r="AU159">
        <v>0</v>
      </c>
      <c r="AV159">
        <v>100</v>
      </c>
      <c r="AW159">
        <v>100</v>
      </c>
      <c r="AX159">
        <v>355308</v>
      </c>
      <c r="AY159">
        <v>280693</v>
      </c>
      <c r="AZ159">
        <v>553</v>
      </c>
      <c r="BA159">
        <v>365</v>
      </c>
      <c r="BB159">
        <v>188</v>
      </c>
      <c r="BC159">
        <v>0</v>
      </c>
      <c r="BD159" s="6">
        <v>44739</v>
      </c>
      <c r="BE159" t="s">
        <v>161</v>
      </c>
      <c r="BF159">
        <v>430000</v>
      </c>
      <c r="BG159">
        <v>430000</v>
      </c>
      <c r="BH159" t="s">
        <v>198</v>
      </c>
      <c r="BI159">
        <v>30</v>
      </c>
      <c r="BJ159" t="s">
        <v>51</v>
      </c>
      <c r="BK159" t="s">
        <v>314</v>
      </c>
      <c r="BL159">
        <v>387200</v>
      </c>
      <c r="BM159">
        <v>74500</v>
      </c>
      <c r="BN159">
        <v>312700</v>
      </c>
      <c r="BO159">
        <v>0</v>
      </c>
      <c r="BP159">
        <v>0.90046511627906978</v>
      </c>
      <c r="BQ159">
        <v>429787.06249753258</v>
      </c>
      <c r="BR159">
        <v>469629.00427513296</v>
      </c>
      <c r="BS159" s="7">
        <f>(BR159-BL159)/BL159</f>
        <v>0.21288482509073595</v>
      </c>
      <c r="BT159" s="14">
        <f>(Sales[[#This Row],[DP1]]*Lookups!$B$51)+(Sales[[#This Row],[DP2]]*Lookups!$B$52)+(Sales[[#This Row],[DP3]]*Lookups!$B$53)</f>
        <v>-39841.955352000004</v>
      </c>
      <c r="BU159" s="14">
        <f>Lookups!$B$48*0.5</f>
        <v>87214.824999999997</v>
      </c>
      <c r="BV159" s="14">
        <f>Lookups!$B$48*0.5</f>
        <v>87214.824999999997</v>
      </c>
      <c r="BW159" s="14">
        <f>Lookups!$B$49*Sales[[#This Row],[LnAcres]]</f>
        <v>-37895.355716587197</v>
      </c>
      <c r="BX159" s="14">
        <f>VLOOKUP(Sales[[#This Row],[Qlty]],Lookups!$A$54:$E$67,2,FALSE)</f>
        <v>30313.66692</v>
      </c>
      <c r="BY159" s="14">
        <f>VLOOKUP(Sales[[#This Row],[Cnd]],Lookups!$A$68:$E$76,2,FALSE)</f>
        <v>47273.897095</v>
      </c>
      <c r="BZ159" s="14">
        <f>Sales[[#This Row],[Age]]*Lookups!$B$77</f>
        <v>11255.258229999999</v>
      </c>
      <c r="CA159" s="14">
        <f>Sales[[#This Row],[MainFn]]*Lookups!$B$78</f>
        <v>93055.419273000007</v>
      </c>
      <c r="CB159" s="14">
        <f>Sales[[#This Row],[UpprFn]]*Lookups!$B$79</f>
        <v>0</v>
      </c>
      <c r="CC159" s="14">
        <f>Sales[[#This Row],[AddFn]]*Lookups!$B$80</f>
        <v>0</v>
      </c>
      <c r="CD159" s="14">
        <f>Sales[[#This Row],[Bsmt]]*Lookups!$B$81</f>
        <v>31927.262327999997</v>
      </c>
      <c r="CE159" s="14">
        <f>Sales[[#This Row],[Fixtures]]*Lookups!$B$84</f>
        <v>111706.1</v>
      </c>
      <c r="CF159" s="14">
        <f>Sales[[#This Row],[MsnryFP]]*Lookups!$B$82</f>
        <v>0</v>
      </c>
      <c r="CG159" s="14">
        <f>Sales[[#This Row],[PrefabFP]]*Lookups!$B$83</f>
        <v>42091.021999999997</v>
      </c>
      <c r="CH159" s="14">
        <f>Sales[[#This Row],[GarageArea]]*Lookups!$B$85</f>
        <v>26099.425954999999</v>
      </c>
      <c r="CI159" s="14">
        <f>SUM(Sales[[#This Row],[Days Prior Total]:[Mdl GarageArea]])</f>
        <v>490414.39073241281</v>
      </c>
      <c r="CJ159" s="14">
        <f>ROUND(Sales[[#This Row],[25Det]],-2)</f>
        <v>0</v>
      </c>
      <c r="CK159" s="14">
        <f>ROUND(SUM(Sales[[#This Row],[Mdl Qlty]:[Mdl GarageArea]])+Sales[[#This Row],[Mdl Res Intercept]]+Sales[[#This Row],[Days Prior Total]],-2)</f>
        <v>441100</v>
      </c>
      <c r="CL159" s="14">
        <f>ROUND(Sales[[#This Row],[Mdl Land Intercept]]+Sales[[#This Row],[Mdl LnAcres]],-2)</f>
        <v>49300</v>
      </c>
      <c r="CM159" s="14">
        <f>Sales[[#This Row],[Unadj Res Value]]+Sales[[#This Row],[Unadj Det Value]]+Sales[[#This Row],[Unadj Land Value]]</f>
        <v>490400</v>
      </c>
      <c r="CN159" s="15">
        <f>Sales[[#This Row],[Unadj Total Value]]/Sales[[#This Row],[Price]]</f>
        <v>1.1404651162790698</v>
      </c>
      <c r="CO159" s="15">
        <f>(Sales[[#This Row],[Unadj Total Value]]-Sales[[#This Row],[24Final]])/Sales[[#This Row],[24Final]]</f>
        <v>0.26652892561983471</v>
      </c>
      <c r="CP159">
        <f>VLOOKUP(Sales[[#This Row],[TNbhd]],Lookups!$M$2:$P$4,4,FALSE)</f>
        <v>0.97570000000000001</v>
      </c>
      <c r="CQ159">
        <f>VLOOKUP(Sales[[#This Row],[Qlty]],Lookups!$M$6:$P$20,4,FALSE)</f>
        <v>0.85299999999999998</v>
      </c>
      <c r="CR159">
        <f>VLOOKUP(Sales[[#This Row],[Cnd]],Lookups!$R$6:$U$15,4,FALSE)</f>
        <v>0.97829999999999995</v>
      </c>
      <c r="CS159">
        <f>VLOOKUP(Sales[[#This Row],[LivArea Range]],Lookups!$R$23:$U$39,4,FALSE)</f>
        <v>0.93440000000000001</v>
      </c>
      <c r="CT159">
        <f>VLOOKUP(Sales[[#This Row],[Decade]],Lookups!$M$23:$P$35,4,FALSE)</f>
        <v>0.95089999999999997</v>
      </c>
      <c r="CU159">
        <f>Sales[[#This Row],[Nbhd Adj]]*0.95</f>
        <v>0.92691499999999993</v>
      </c>
      <c r="CV159">
        <f>Sales[[#This Row],[Nbhd Adj]]*Sales[[#This Row],[Quality Adj]]*Sales[[#This Row],[Condition Adj]]*Sales[[#This Row],[Living Area Adj]]*Sales[[#This Row],[Decade Adj]]*0.95</f>
        <v>0.68727203381284774</v>
      </c>
      <c r="CW159">
        <f>ROUND(SUM(Sales[[#This Row],[Mdl Qlty]:[Mdl GarageArea]])+Sales[[#This Row],[Mdl Res Intercept]]*Sales[[#This Row],[Res Adj ]],-2)</f>
        <v>453700</v>
      </c>
      <c r="CX159">
        <f>ROUND(Sales[[#This Row],[25Det]]*Sales[[#This Row],[Det/Nbhd Adj]],-2)</f>
        <v>0</v>
      </c>
      <c r="CY159">
        <f>Sales[[#This Row],[Adjusted Res]]+Sales[[#This Row],[Adj Det ]]</f>
        <v>453700</v>
      </c>
      <c r="CZ159">
        <f>ROUND((Sales[[#This Row],[Mdl Land Intercept]]+Sales[[#This Row],[Mdl LnAcres]])*Sales[[#This Row],[Det/Nbhd Adj]],-2)</f>
        <v>45700</v>
      </c>
      <c r="DA159">
        <f>Sales[[#This Row],[Adjusted Impr Total]]+Sales[[#This Row],[Adjusted Land Total]]</f>
        <v>499400</v>
      </c>
      <c r="DB159">
        <f>IFERROR((Sales[[#This Row],[Adjusted Impr Total]]-Sales[[#This Row],[24Bldg]])/Sales[[#This Row],[24Bldg]],0)</f>
        <v>0.4509114166933163</v>
      </c>
      <c r="DC159">
        <f>(Sales[[#This Row],[Adjusted Land Total]]-Sales[[#This Row],[24Lnd]])/Sales[[#This Row],[24Lnd]]</f>
        <v>-0.38657718120805368</v>
      </c>
      <c r="DD159">
        <f>(Sales[[#This Row],[Adjusted Total]]-Sales[[#This Row],[24Final]])/Sales[[#This Row],[24Final]]</f>
        <v>0.28977272727272729</v>
      </c>
      <c r="DE159">
        <f>(Sales[[#This Row],[Adjusted Total]]+Sales[[#This Row],[Days Prior Total]])/Sales[[#This Row],[Price]]</f>
        <v>1.0687396387162791</v>
      </c>
    </row>
    <row r="160" spans="1:109" x14ac:dyDescent="0.3">
      <c r="A160">
        <v>2025</v>
      </c>
      <c r="B160">
        <v>18131532491</v>
      </c>
      <c r="C160">
        <v>-1.6607312068216509</v>
      </c>
      <c r="D160">
        <v>0.19</v>
      </c>
      <c r="E160">
        <v>8205</v>
      </c>
      <c r="F160">
        <v>5</v>
      </c>
      <c r="G160" t="s">
        <v>89</v>
      </c>
      <c r="H160">
        <v>3041</v>
      </c>
      <c r="I160" t="s">
        <v>302</v>
      </c>
      <c r="J160" t="s">
        <v>26</v>
      </c>
      <c r="K160">
        <v>11</v>
      </c>
      <c r="L160">
        <v>259</v>
      </c>
      <c r="M160" t="s">
        <v>172</v>
      </c>
      <c r="N160" t="s">
        <v>111</v>
      </c>
      <c r="O160" t="s">
        <v>258</v>
      </c>
      <c r="P160">
        <v>1963</v>
      </c>
      <c r="Q160">
        <v>1975</v>
      </c>
      <c r="R160">
        <v>70</v>
      </c>
      <c r="S160">
        <v>61</v>
      </c>
      <c r="T160">
        <v>49</v>
      </c>
      <c r="U160">
        <v>1</v>
      </c>
      <c r="V160">
        <v>1836</v>
      </c>
      <c r="W160">
        <v>0</v>
      </c>
      <c r="X160">
        <v>0</v>
      </c>
      <c r="Y160">
        <v>880</v>
      </c>
      <c r="Z160">
        <v>880</v>
      </c>
      <c r="AA160">
        <v>0</v>
      </c>
      <c r="AB160">
        <v>2716</v>
      </c>
      <c r="AC160">
        <v>3000</v>
      </c>
      <c r="AD160">
        <v>2</v>
      </c>
      <c r="AE160" t="s">
        <v>132</v>
      </c>
      <c r="AF160" t="s">
        <v>275</v>
      </c>
      <c r="AG160" t="s">
        <v>111</v>
      </c>
      <c r="AH160" t="s">
        <v>314</v>
      </c>
      <c r="AI160">
        <v>0</v>
      </c>
      <c r="AJ160">
        <v>2</v>
      </c>
      <c r="AK160">
        <v>0</v>
      </c>
      <c r="AL160">
        <v>0</v>
      </c>
      <c r="AM160">
        <v>1</v>
      </c>
      <c r="AN160">
        <v>12</v>
      </c>
      <c r="AO160">
        <v>462</v>
      </c>
      <c r="AP160">
        <v>0</v>
      </c>
      <c r="AQ160">
        <v>462</v>
      </c>
      <c r="AR160">
        <v>0</v>
      </c>
      <c r="AS160">
        <v>0</v>
      </c>
      <c r="AT160">
        <v>168</v>
      </c>
      <c r="AU160">
        <v>0</v>
      </c>
      <c r="AV160">
        <v>100</v>
      </c>
      <c r="AW160">
        <v>100</v>
      </c>
      <c r="AX160">
        <v>475150</v>
      </c>
      <c r="AY160">
        <v>394375</v>
      </c>
      <c r="AZ160">
        <v>1077</v>
      </c>
      <c r="BA160">
        <v>365</v>
      </c>
      <c r="BB160">
        <v>365</v>
      </c>
      <c r="BC160">
        <v>347</v>
      </c>
      <c r="BD160" s="6">
        <v>44215</v>
      </c>
      <c r="BE160">
        <v>458333</v>
      </c>
      <c r="BF160">
        <v>400000</v>
      </c>
      <c r="BG160">
        <v>400000</v>
      </c>
      <c r="BH160" t="s">
        <v>198</v>
      </c>
      <c r="BI160">
        <v>30</v>
      </c>
      <c r="BJ160" t="s">
        <v>51</v>
      </c>
      <c r="BK160" t="s">
        <v>314</v>
      </c>
      <c r="BL160">
        <v>480800</v>
      </c>
      <c r="BM160">
        <v>66200</v>
      </c>
      <c r="BN160">
        <v>414600</v>
      </c>
      <c r="BO160">
        <v>0</v>
      </c>
      <c r="BP160">
        <v>1.202</v>
      </c>
      <c r="BQ160">
        <v>454102.11455716321</v>
      </c>
      <c r="BR160">
        <v>584182.83045611857</v>
      </c>
      <c r="BS160" s="7">
        <f>(BR160-BL160)/BL160</f>
        <v>0.21502252590706855</v>
      </c>
      <c r="BT160" s="14">
        <f>(Sales[[#This Row],[DP1]]*Lookups!$B$51)+(Sales[[#This Row],[DP2]]*Lookups!$B$52)+(Sales[[#This Row],[DP3]]*Lookups!$B$53)</f>
        <v>-130080.71271000001</v>
      </c>
      <c r="BU160" s="14">
        <f>Lookups!$B$48*0.5</f>
        <v>87214.824999999997</v>
      </c>
      <c r="BV160" s="14">
        <f>Lookups!$B$48*0.5</f>
        <v>87214.824999999997</v>
      </c>
      <c r="BW160" s="14">
        <f>Lookups!$B$49*Sales[[#This Row],[LnAcres]]</f>
        <v>-41564.524891726433</v>
      </c>
      <c r="BX160" s="14">
        <f>VLOOKUP(Sales[[#This Row],[Qlty]],Lookups!$A$54:$E$67,2,FALSE)</f>
        <v>-14329.694740000001</v>
      </c>
      <c r="BY160" s="14">
        <f>VLOOKUP(Sales[[#This Row],[Cnd]],Lookups!$A$68:$E$76,2,FALSE)</f>
        <v>106557.38887</v>
      </c>
      <c r="BZ160" s="14">
        <f>Sales[[#This Row],[Age]]*Lookups!$B$77</f>
        <v>11255.258229999999</v>
      </c>
      <c r="CA160" s="14">
        <f>Sales[[#This Row],[MainFn]]*Lookups!$B$78</f>
        <v>126837.23072400001</v>
      </c>
      <c r="CB160" s="14">
        <f>Sales[[#This Row],[UpprFn]]*Lookups!$B$79</f>
        <v>0</v>
      </c>
      <c r="CC160" s="14">
        <f>Sales[[#This Row],[AddFn]]*Lookups!$B$80</f>
        <v>0</v>
      </c>
      <c r="CD160" s="14">
        <f>Sales[[#This Row],[Bsmt]]*Lookups!$B$81</f>
        <v>25175.619039999998</v>
      </c>
      <c r="CE160" s="14">
        <f>Sales[[#This Row],[Fixtures]]*Lookups!$B$84</f>
        <v>121861.20000000001</v>
      </c>
      <c r="CF160" s="14">
        <f>Sales[[#This Row],[MsnryFP]]*Lookups!$B$82</f>
        <v>50547.245999999999</v>
      </c>
      <c r="CG160" s="14">
        <f>Sales[[#This Row],[PrefabFP]]*Lookups!$B$83</f>
        <v>0</v>
      </c>
      <c r="CH160" s="14">
        <f>Sales[[#This Row],[GarageArea]]*Lookups!$B$85</f>
        <v>23413.465614000001</v>
      </c>
      <c r="CI160" s="14">
        <f>SUM(Sales[[#This Row],[Days Prior Total]:[Mdl GarageArea]])</f>
        <v>454102.12613627355</v>
      </c>
      <c r="CJ160" s="14">
        <f>ROUND(Sales[[#This Row],[25Det]],-2)</f>
        <v>0</v>
      </c>
      <c r="CK160" s="14">
        <f>ROUND(SUM(Sales[[#This Row],[Mdl Qlty]:[Mdl GarageArea]])+Sales[[#This Row],[Mdl Res Intercept]]+Sales[[#This Row],[Days Prior Total]],-2)</f>
        <v>408500</v>
      </c>
      <c r="CL160" s="14">
        <f>ROUND(Sales[[#This Row],[Mdl Land Intercept]]+Sales[[#This Row],[Mdl LnAcres]],-2)</f>
        <v>45700</v>
      </c>
      <c r="CM160" s="14">
        <f>Sales[[#This Row],[Unadj Res Value]]+Sales[[#This Row],[Unadj Det Value]]+Sales[[#This Row],[Unadj Land Value]]</f>
        <v>454200</v>
      </c>
      <c r="CN160" s="15">
        <f>Sales[[#This Row],[Unadj Total Value]]/Sales[[#This Row],[Price]]</f>
        <v>1.1355</v>
      </c>
      <c r="CO160" s="15">
        <f>(Sales[[#This Row],[Unadj Total Value]]-Sales[[#This Row],[24Final]])/Sales[[#This Row],[24Final]]</f>
        <v>-5.5324459234608984E-2</v>
      </c>
      <c r="CP160">
        <f>VLOOKUP(Sales[[#This Row],[TNbhd]],Lookups!$M$2:$P$4,4,FALSE)</f>
        <v>0.97570000000000001</v>
      </c>
      <c r="CQ160">
        <f>VLOOKUP(Sales[[#This Row],[Qlty]],Lookups!$M$6:$P$20,4,FALSE)</f>
        <v>0.98809999999999998</v>
      </c>
      <c r="CR160">
        <f>VLOOKUP(Sales[[#This Row],[Cnd]],Lookups!$R$6:$U$15,4,FALSE)</f>
        <v>0.9748</v>
      </c>
      <c r="CS160">
        <f>VLOOKUP(Sales[[#This Row],[LivArea Range]],Lookups!$R$23:$U$39,4,FALSE)</f>
        <v>0.93310000000000004</v>
      </c>
      <c r="CT160">
        <f>VLOOKUP(Sales[[#This Row],[Decade]],Lookups!$M$23:$P$35,4,FALSE)</f>
        <v>0.95089999999999997</v>
      </c>
      <c r="CU160">
        <f>Sales[[#This Row],[Nbhd Adj]]*0.95</f>
        <v>0.92691499999999993</v>
      </c>
      <c r="CV160">
        <f>Sales[[#This Row],[Nbhd Adj]]*Sales[[#This Row],[Quality Adj]]*Sales[[#This Row],[Condition Adj]]*Sales[[#This Row],[Living Area Adj]]*Sales[[#This Row],[Decade Adj]]*0.95</f>
        <v>0.79217177944501926</v>
      </c>
      <c r="CW160">
        <f>ROUND(SUM(Sales[[#This Row],[Mdl Qlty]:[Mdl GarageArea]])+Sales[[#This Row],[Mdl Res Intercept]]*Sales[[#This Row],[Res Adj ]],-2)</f>
        <v>520400</v>
      </c>
      <c r="CX160">
        <f>ROUND(Sales[[#This Row],[25Det]]*Sales[[#This Row],[Det/Nbhd Adj]],-2)</f>
        <v>0</v>
      </c>
      <c r="CY160">
        <f>Sales[[#This Row],[Adjusted Res]]+Sales[[#This Row],[Adj Det ]]</f>
        <v>520400</v>
      </c>
      <c r="CZ160">
        <f>ROUND((Sales[[#This Row],[Mdl Land Intercept]]+Sales[[#This Row],[Mdl LnAcres]])*Sales[[#This Row],[Det/Nbhd Adj]],-2)</f>
        <v>42300</v>
      </c>
      <c r="DA160">
        <f>Sales[[#This Row],[Adjusted Impr Total]]+Sales[[#This Row],[Adjusted Land Total]]</f>
        <v>562700</v>
      </c>
      <c r="DB160">
        <f>IFERROR((Sales[[#This Row],[Adjusted Impr Total]]-Sales[[#This Row],[24Bldg]])/Sales[[#This Row],[24Bldg]],0)</f>
        <v>0.25518572117703808</v>
      </c>
      <c r="DC160">
        <f>(Sales[[#This Row],[Adjusted Land Total]]-Sales[[#This Row],[24Lnd]])/Sales[[#This Row],[24Lnd]]</f>
        <v>-0.36102719033232628</v>
      </c>
      <c r="DD160">
        <f>(Sales[[#This Row],[Adjusted Total]]-Sales[[#This Row],[24Final]])/Sales[[#This Row],[24Final]]</f>
        <v>0.17034109816971713</v>
      </c>
      <c r="DE160">
        <f>(Sales[[#This Row],[Adjusted Total]]+Sales[[#This Row],[Days Prior Total]])/Sales[[#This Row],[Price]]</f>
        <v>1.081548218225</v>
      </c>
    </row>
    <row r="161" spans="1:109" x14ac:dyDescent="0.3">
      <c r="A161">
        <v>2025</v>
      </c>
      <c r="B161">
        <v>18131532484</v>
      </c>
      <c r="C161">
        <v>-1.6094379124341003</v>
      </c>
      <c r="D161">
        <v>0.2</v>
      </c>
      <c r="E161">
        <v>8892</v>
      </c>
      <c r="F161">
        <v>5</v>
      </c>
      <c r="G161" t="s">
        <v>89</v>
      </c>
      <c r="H161" t="s">
        <v>302</v>
      </c>
      <c r="I161" t="s">
        <v>302</v>
      </c>
      <c r="J161" t="s">
        <v>26</v>
      </c>
      <c r="K161">
        <v>11</v>
      </c>
      <c r="L161">
        <v>259</v>
      </c>
      <c r="M161" t="s">
        <v>4</v>
      </c>
      <c r="N161" t="s">
        <v>111</v>
      </c>
      <c r="O161" t="s">
        <v>231</v>
      </c>
      <c r="P161">
        <v>1962</v>
      </c>
      <c r="Q161">
        <v>1975</v>
      </c>
      <c r="R161">
        <v>70</v>
      </c>
      <c r="S161">
        <v>62</v>
      </c>
      <c r="T161">
        <v>49</v>
      </c>
      <c r="U161">
        <v>1</v>
      </c>
      <c r="V161">
        <v>1570</v>
      </c>
      <c r="W161">
        <v>0</v>
      </c>
      <c r="X161">
        <v>0</v>
      </c>
      <c r="Y161">
        <v>982</v>
      </c>
      <c r="Z161">
        <v>982</v>
      </c>
      <c r="AA161">
        <v>0</v>
      </c>
      <c r="AB161">
        <v>2552</v>
      </c>
      <c r="AC161">
        <v>3000</v>
      </c>
      <c r="AD161">
        <v>2</v>
      </c>
      <c r="AF161" t="s">
        <v>275</v>
      </c>
      <c r="AG161" t="s">
        <v>111</v>
      </c>
      <c r="AH161" t="s">
        <v>314</v>
      </c>
      <c r="AI161">
        <v>0</v>
      </c>
      <c r="AJ161">
        <v>2</v>
      </c>
      <c r="AK161">
        <v>0</v>
      </c>
      <c r="AL161">
        <v>2</v>
      </c>
      <c r="AM161">
        <v>0</v>
      </c>
      <c r="AN161">
        <v>12</v>
      </c>
      <c r="AO161">
        <v>0</v>
      </c>
      <c r="AP161">
        <v>588</v>
      </c>
      <c r="AQ161">
        <v>588</v>
      </c>
      <c r="AR161">
        <v>0</v>
      </c>
      <c r="AS161">
        <v>266</v>
      </c>
      <c r="AT161">
        <v>264</v>
      </c>
      <c r="AU161">
        <v>264</v>
      </c>
      <c r="AV161">
        <v>100</v>
      </c>
      <c r="AW161">
        <v>100</v>
      </c>
      <c r="AX161">
        <v>457479</v>
      </c>
      <c r="AY161">
        <v>361408</v>
      </c>
      <c r="AZ161">
        <v>34</v>
      </c>
      <c r="BA161">
        <v>34</v>
      </c>
      <c r="BB161">
        <v>0</v>
      </c>
      <c r="BC161">
        <v>0</v>
      </c>
      <c r="BD161" s="6">
        <v>45258</v>
      </c>
      <c r="BE161" t="s">
        <v>156</v>
      </c>
      <c r="BF161">
        <v>385000</v>
      </c>
      <c r="BG161">
        <v>385000</v>
      </c>
      <c r="BH161" t="s">
        <v>198</v>
      </c>
      <c r="BI161">
        <v>30</v>
      </c>
      <c r="BJ161" t="s">
        <v>51</v>
      </c>
      <c r="BK161" t="s">
        <v>314</v>
      </c>
      <c r="BL161">
        <v>453900</v>
      </c>
      <c r="BM161">
        <v>69100</v>
      </c>
      <c r="BN161">
        <v>384800</v>
      </c>
      <c r="BO161">
        <v>0</v>
      </c>
      <c r="BP161">
        <v>1.178961038961039</v>
      </c>
      <c r="BQ161">
        <v>464643.58167437266</v>
      </c>
      <c r="BR161">
        <v>470021.08840693091</v>
      </c>
      <c r="BS161" s="7">
        <f>(BR161-BL161)/BL161</f>
        <v>3.5516828391564025E-2</v>
      </c>
      <c r="BT161" s="14">
        <f>(Sales[[#This Row],[DP1]]*Lookups!$B$51)+(Sales[[#This Row],[DP2]]*Lookups!$B$52)+(Sales[[#This Row],[DP3]]*Lookups!$B$53)</f>
        <v>-5377.5079999999998</v>
      </c>
      <c r="BU161" s="14">
        <f>Lookups!$B$48*0.5</f>
        <v>87214.824999999997</v>
      </c>
      <c r="BV161" s="14">
        <f>Lookups!$B$48*0.5</f>
        <v>87214.824999999997</v>
      </c>
      <c r="BW161" s="14">
        <f>Lookups!$B$49*Sales[[#This Row],[LnAcres]]</f>
        <v>-40280.764218962147</v>
      </c>
      <c r="BX161" s="14">
        <f>VLOOKUP(Sales[[#This Row],[Qlty]],Lookups!$A$54:$E$67,2,FALSE)</f>
        <v>-14329.694740000001</v>
      </c>
      <c r="BY161" s="14">
        <f>VLOOKUP(Sales[[#This Row],[Cnd]],Lookups!$A$68:$E$76,2,FALSE)</f>
        <v>0</v>
      </c>
      <c r="BZ161" s="14">
        <f>Sales[[#This Row],[Age]]*Lookups!$B$77</f>
        <v>11439.77066</v>
      </c>
      <c r="CA161" s="14">
        <f>Sales[[#This Row],[MainFn]]*Lookups!$B$78</f>
        <v>108461.03063000001</v>
      </c>
      <c r="CB161" s="14">
        <f>Sales[[#This Row],[UpprFn]]*Lookups!$B$79</f>
        <v>0</v>
      </c>
      <c r="CC161" s="14">
        <f>Sales[[#This Row],[AddFn]]*Lookups!$B$80</f>
        <v>0</v>
      </c>
      <c r="CD161" s="14">
        <f>Sales[[#This Row],[Bsmt]]*Lookups!$B$81</f>
        <v>28093.702155999999</v>
      </c>
      <c r="CE161" s="14">
        <f>Sales[[#This Row],[Fixtures]]*Lookups!$B$84</f>
        <v>121861.20000000001</v>
      </c>
      <c r="CF161" s="14">
        <f>Sales[[#This Row],[MsnryFP]]*Lookups!$B$82</f>
        <v>50547.245999999999</v>
      </c>
      <c r="CG161" s="14">
        <f>Sales[[#This Row],[PrefabFP]]*Lookups!$B$83</f>
        <v>0</v>
      </c>
      <c r="CH161" s="14">
        <f>Sales[[#This Row],[GarageArea]]*Lookups!$B$85</f>
        <v>29798.956236000002</v>
      </c>
      <c r="CI161" s="14">
        <f>SUM(Sales[[#This Row],[Days Prior Total]:[Mdl GarageArea]])</f>
        <v>464643.58872303786</v>
      </c>
      <c r="CJ161" s="14">
        <f>ROUND(Sales[[#This Row],[25Det]],-2)</f>
        <v>0</v>
      </c>
      <c r="CK161" s="14">
        <f>ROUND(SUM(Sales[[#This Row],[Mdl Qlty]:[Mdl GarageArea]])+Sales[[#This Row],[Mdl Res Intercept]]+Sales[[#This Row],[Days Prior Total]],-2)</f>
        <v>417700</v>
      </c>
      <c r="CL161" s="14">
        <f>ROUND(Sales[[#This Row],[Mdl Land Intercept]]+Sales[[#This Row],[Mdl LnAcres]],-2)</f>
        <v>46900</v>
      </c>
      <c r="CM161" s="14">
        <f>Sales[[#This Row],[Unadj Res Value]]+Sales[[#This Row],[Unadj Det Value]]+Sales[[#This Row],[Unadj Land Value]]</f>
        <v>464600</v>
      </c>
      <c r="CN161" s="15">
        <f>Sales[[#This Row],[Unadj Total Value]]/Sales[[#This Row],[Price]]</f>
        <v>1.2067532467532467</v>
      </c>
      <c r="CO161" s="15">
        <f>(Sales[[#This Row],[Unadj Total Value]]-Sales[[#This Row],[24Final]])/Sales[[#This Row],[24Final]]</f>
        <v>2.3573474333553647E-2</v>
      </c>
      <c r="CP161">
        <f>VLOOKUP(Sales[[#This Row],[TNbhd]],Lookups!$M$2:$P$4,4,FALSE)</f>
        <v>0.97570000000000001</v>
      </c>
      <c r="CQ161">
        <f>VLOOKUP(Sales[[#This Row],[Qlty]],Lookups!$M$6:$P$20,4,FALSE)</f>
        <v>0.98809999999999998</v>
      </c>
      <c r="CR161">
        <f>VLOOKUP(Sales[[#This Row],[Cnd]],Lookups!$R$6:$U$15,4,FALSE)</f>
        <v>0.9677</v>
      </c>
      <c r="CS161">
        <f>VLOOKUP(Sales[[#This Row],[LivArea Range]],Lookups!$R$23:$U$39,4,FALSE)</f>
        <v>0.93310000000000004</v>
      </c>
      <c r="CT161">
        <f>VLOOKUP(Sales[[#This Row],[Decade]],Lookups!$M$23:$P$35,4,FALSE)</f>
        <v>0.95089999999999997</v>
      </c>
      <c r="CU161">
        <f>Sales[[#This Row],[Nbhd Adj]]*0.95</f>
        <v>0.92691499999999993</v>
      </c>
      <c r="CV161">
        <f>Sales[[#This Row],[Nbhd Adj]]*Sales[[#This Row],[Quality Adj]]*Sales[[#This Row],[Condition Adj]]*Sales[[#This Row],[Living Area Adj]]*Sales[[#This Row],[Decade Adj]]*0.95</f>
        <v>0.7864019603702761</v>
      </c>
      <c r="CW161">
        <f>ROUND(SUM(Sales[[#This Row],[Mdl Qlty]:[Mdl GarageArea]])+Sales[[#This Row],[Mdl Res Intercept]]*Sales[[#This Row],[Res Adj ]],-2)</f>
        <v>404500</v>
      </c>
      <c r="CX161">
        <f>ROUND(Sales[[#This Row],[25Det]]*Sales[[#This Row],[Det/Nbhd Adj]],-2)</f>
        <v>0</v>
      </c>
      <c r="CY161">
        <f>Sales[[#This Row],[Adjusted Res]]+Sales[[#This Row],[Adj Det ]]</f>
        <v>404500</v>
      </c>
      <c r="CZ161">
        <f>ROUND((Sales[[#This Row],[Mdl Land Intercept]]+Sales[[#This Row],[Mdl LnAcres]])*Sales[[#This Row],[Det/Nbhd Adj]],-2)</f>
        <v>43500</v>
      </c>
      <c r="DA161">
        <f>Sales[[#This Row],[Adjusted Impr Total]]+Sales[[#This Row],[Adjusted Land Total]]</f>
        <v>448000</v>
      </c>
      <c r="DB161">
        <f>IFERROR((Sales[[#This Row],[Adjusted Impr Total]]-Sales[[#This Row],[24Bldg]])/Sales[[#This Row],[24Bldg]],0)</f>
        <v>5.1195426195426198E-2</v>
      </c>
      <c r="DC161">
        <f>(Sales[[#This Row],[Adjusted Land Total]]-Sales[[#This Row],[24Lnd]])/Sales[[#This Row],[24Lnd]]</f>
        <v>-0.37047756874095511</v>
      </c>
      <c r="DD161">
        <f>(Sales[[#This Row],[Adjusted Total]]-Sales[[#This Row],[24Final]])/Sales[[#This Row],[24Final]]</f>
        <v>-1.2998457810090328E-2</v>
      </c>
      <c r="DE161">
        <f>(Sales[[#This Row],[Adjusted Total]]+Sales[[#This Row],[Days Prior Total]])/Sales[[#This Row],[Price]]</f>
        <v>1.1496688103896104</v>
      </c>
    </row>
    <row r="162" spans="1:109" x14ac:dyDescent="0.3">
      <c r="A162">
        <v>2025</v>
      </c>
      <c r="B162">
        <v>18131532484</v>
      </c>
      <c r="C162">
        <v>-1.6094379124341003</v>
      </c>
      <c r="D162">
        <v>0.2</v>
      </c>
      <c r="E162">
        <v>8892</v>
      </c>
      <c r="F162">
        <v>5</v>
      </c>
      <c r="G162" t="s">
        <v>89</v>
      </c>
      <c r="H162">
        <v>3041</v>
      </c>
      <c r="I162" t="s">
        <v>302</v>
      </c>
      <c r="J162" t="s">
        <v>26</v>
      </c>
      <c r="K162">
        <v>11</v>
      </c>
      <c r="L162">
        <v>259</v>
      </c>
      <c r="M162" t="s">
        <v>4</v>
      </c>
      <c r="N162" t="s">
        <v>111</v>
      </c>
      <c r="O162" t="s">
        <v>231</v>
      </c>
      <c r="P162">
        <v>1962</v>
      </c>
      <c r="Q162">
        <v>1975</v>
      </c>
      <c r="R162">
        <v>70</v>
      </c>
      <c r="S162">
        <v>62</v>
      </c>
      <c r="T162">
        <v>49</v>
      </c>
      <c r="U162">
        <v>1</v>
      </c>
      <c r="V162">
        <v>1570</v>
      </c>
      <c r="W162">
        <v>0</v>
      </c>
      <c r="X162">
        <v>0</v>
      </c>
      <c r="Y162">
        <v>982</v>
      </c>
      <c r="Z162">
        <v>982</v>
      </c>
      <c r="AA162">
        <v>0</v>
      </c>
      <c r="AB162">
        <v>2552</v>
      </c>
      <c r="AC162">
        <v>3000</v>
      </c>
      <c r="AD162">
        <v>2</v>
      </c>
      <c r="AF162" t="s">
        <v>275</v>
      </c>
      <c r="AG162" t="s">
        <v>111</v>
      </c>
      <c r="AH162" t="s">
        <v>314</v>
      </c>
      <c r="AI162">
        <v>0</v>
      </c>
      <c r="AJ162">
        <v>2</v>
      </c>
      <c r="AK162">
        <v>0</v>
      </c>
      <c r="AL162">
        <v>2</v>
      </c>
      <c r="AM162">
        <v>0</v>
      </c>
      <c r="AN162">
        <v>12</v>
      </c>
      <c r="AO162">
        <v>0</v>
      </c>
      <c r="AP162">
        <v>588</v>
      </c>
      <c r="AQ162">
        <v>588</v>
      </c>
      <c r="AR162">
        <v>0</v>
      </c>
      <c r="AS162">
        <v>266</v>
      </c>
      <c r="AT162">
        <v>264</v>
      </c>
      <c r="AU162">
        <v>0</v>
      </c>
      <c r="AV162">
        <v>100</v>
      </c>
      <c r="AW162">
        <v>100</v>
      </c>
      <c r="AX162">
        <v>450908</v>
      </c>
      <c r="AY162">
        <v>356217</v>
      </c>
      <c r="AZ162">
        <v>935</v>
      </c>
      <c r="BA162">
        <v>365</v>
      </c>
      <c r="BB162">
        <v>365</v>
      </c>
      <c r="BC162">
        <v>205</v>
      </c>
      <c r="BD162" s="6">
        <v>44357</v>
      </c>
      <c r="BE162" t="s">
        <v>114</v>
      </c>
      <c r="BF162">
        <v>389000</v>
      </c>
      <c r="BG162">
        <v>389000</v>
      </c>
      <c r="BH162" t="s">
        <v>198</v>
      </c>
      <c r="BI162">
        <v>30</v>
      </c>
      <c r="BJ162" t="s">
        <v>51</v>
      </c>
      <c r="BK162" t="s">
        <v>314</v>
      </c>
      <c r="BL162">
        <v>453900</v>
      </c>
      <c r="BM162">
        <v>69100</v>
      </c>
      <c r="BN162">
        <v>384800</v>
      </c>
      <c r="BO162">
        <v>0</v>
      </c>
      <c r="BP162">
        <v>1.1668380462724937</v>
      </c>
      <c r="BQ162">
        <v>383759.59135559382</v>
      </c>
      <c r="BR162">
        <v>470021.08840693091</v>
      </c>
      <c r="BS162" s="7">
        <f>(BR162-BL162)/BL162</f>
        <v>3.5516828391564025E-2</v>
      </c>
      <c r="BT162" s="14">
        <f>(Sales[[#This Row],[DP1]]*Lookups!$B$51)+(Sales[[#This Row],[DP2]]*Lookups!$B$52)+(Sales[[#This Row],[DP3]]*Lookups!$B$53)</f>
        <v>-86261.500710000008</v>
      </c>
      <c r="BU162" s="14">
        <f>Lookups!$B$48*0.5</f>
        <v>87214.824999999997</v>
      </c>
      <c r="BV162" s="14">
        <f>Lookups!$B$48*0.5</f>
        <v>87214.824999999997</v>
      </c>
      <c r="BW162" s="14">
        <f>Lookups!$B$49*Sales[[#This Row],[LnAcres]]</f>
        <v>-40280.764218962147</v>
      </c>
      <c r="BX162" s="14">
        <f>VLOOKUP(Sales[[#This Row],[Qlty]],Lookups!$A$54:$E$67,2,FALSE)</f>
        <v>-14329.694740000001</v>
      </c>
      <c r="BY162" s="14">
        <f>VLOOKUP(Sales[[#This Row],[Cnd]],Lookups!$A$68:$E$76,2,FALSE)</f>
        <v>0</v>
      </c>
      <c r="BZ162" s="14">
        <f>Sales[[#This Row],[Age]]*Lookups!$B$77</f>
        <v>11439.77066</v>
      </c>
      <c r="CA162" s="14">
        <f>Sales[[#This Row],[MainFn]]*Lookups!$B$78</f>
        <v>108461.03063000001</v>
      </c>
      <c r="CB162" s="14">
        <f>Sales[[#This Row],[UpprFn]]*Lookups!$B$79</f>
        <v>0</v>
      </c>
      <c r="CC162" s="14">
        <f>Sales[[#This Row],[AddFn]]*Lookups!$B$80</f>
        <v>0</v>
      </c>
      <c r="CD162" s="14">
        <f>Sales[[#This Row],[Bsmt]]*Lookups!$B$81</f>
        <v>28093.702155999999</v>
      </c>
      <c r="CE162" s="14">
        <f>Sales[[#This Row],[Fixtures]]*Lookups!$B$84</f>
        <v>121861.20000000001</v>
      </c>
      <c r="CF162" s="14">
        <f>Sales[[#This Row],[MsnryFP]]*Lookups!$B$82</f>
        <v>50547.245999999999</v>
      </c>
      <c r="CG162" s="14">
        <f>Sales[[#This Row],[PrefabFP]]*Lookups!$B$83</f>
        <v>0</v>
      </c>
      <c r="CH162" s="14">
        <f>Sales[[#This Row],[GarageArea]]*Lookups!$B$85</f>
        <v>29798.956236000002</v>
      </c>
      <c r="CI162" s="14">
        <f>SUM(Sales[[#This Row],[Days Prior Total]:[Mdl GarageArea]])</f>
        <v>383759.59601303784</v>
      </c>
      <c r="CJ162" s="14">
        <f>ROUND(Sales[[#This Row],[25Det]],-2)</f>
        <v>0</v>
      </c>
      <c r="CK162" s="14">
        <f>ROUND(SUM(Sales[[#This Row],[Mdl Qlty]:[Mdl GarageArea]])+Sales[[#This Row],[Mdl Res Intercept]]+Sales[[#This Row],[Days Prior Total]],-2)</f>
        <v>336800</v>
      </c>
      <c r="CL162" s="14">
        <f>ROUND(Sales[[#This Row],[Mdl Land Intercept]]+Sales[[#This Row],[Mdl LnAcres]],-2)</f>
        <v>46900</v>
      </c>
      <c r="CM162" s="14">
        <f>Sales[[#This Row],[Unadj Res Value]]+Sales[[#This Row],[Unadj Det Value]]+Sales[[#This Row],[Unadj Land Value]]</f>
        <v>383700</v>
      </c>
      <c r="CN162" s="15">
        <f>Sales[[#This Row],[Unadj Total Value]]/Sales[[#This Row],[Price]]</f>
        <v>0.98637532133676098</v>
      </c>
      <c r="CO162" s="15">
        <f>(Sales[[#This Row],[Unadj Total Value]]-Sales[[#This Row],[24Final]])/Sales[[#This Row],[24Final]]</f>
        <v>-0.15465961665565103</v>
      </c>
      <c r="CP162">
        <f>VLOOKUP(Sales[[#This Row],[TNbhd]],Lookups!$M$2:$P$4,4,FALSE)</f>
        <v>0.97570000000000001</v>
      </c>
      <c r="CQ162">
        <f>VLOOKUP(Sales[[#This Row],[Qlty]],Lookups!$M$6:$P$20,4,FALSE)</f>
        <v>0.98809999999999998</v>
      </c>
      <c r="CR162">
        <f>VLOOKUP(Sales[[#This Row],[Cnd]],Lookups!$R$6:$U$15,4,FALSE)</f>
        <v>0.9677</v>
      </c>
      <c r="CS162">
        <f>VLOOKUP(Sales[[#This Row],[LivArea Range]],Lookups!$R$23:$U$39,4,FALSE)</f>
        <v>0.93310000000000004</v>
      </c>
      <c r="CT162">
        <f>VLOOKUP(Sales[[#This Row],[Decade]],Lookups!$M$23:$P$35,4,FALSE)</f>
        <v>0.95089999999999997</v>
      </c>
      <c r="CU162">
        <f>Sales[[#This Row],[Nbhd Adj]]*0.95</f>
        <v>0.92691499999999993</v>
      </c>
      <c r="CV162">
        <f>Sales[[#This Row],[Nbhd Adj]]*Sales[[#This Row],[Quality Adj]]*Sales[[#This Row],[Condition Adj]]*Sales[[#This Row],[Living Area Adj]]*Sales[[#This Row],[Decade Adj]]*0.95</f>
        <v>0.7864019603702761</v>
      </c>
      <c r="CW162">
        <f>ROUND(SUM(Sales[[#This Row],[Mdl Qlty]:[Mdl GarageArea]])+Sales[[#This Row],[Mdl Res Intercept]]*Sales[[#This Row],[Res Adj ]],-2)</f>
        <v>404500</v>
      </c>
      <c r="CX162">
        <f>ROUND(Sales[[#This Row],[25Det]]*Sales[[#This Row],[Det/Nbhd Adj]],-2)</f>
        <v>0</v>
      </c>
      <c r="CY162">
        <f>Sales[[#This Row],[Adjusted Res]]+Sales[[#This Row],[Adj Det ]]</f>
        <v>404500</v>
      </c>
      <c r="CZ162">
        <f>ROUND((Sales[[#This Row],[Mdl Land Intercept]]+Sales[[#This Row],[Mdl LnAcres]])*Sales[[#This Row],[Det/Nbhd Adj]],-2)</f>
        <v>43500</v>
      </c>
      <c r="DA162">
        <f>Sales[[#This Row],[Adjusted Impr Total]]+Sales[[#This Row],[Adjusted Land Total]]</f>
        <v>448000</v>
      </c>
      <c r="DB162">
        <f>IFERROR((Sales[[#This Row],[Adjusted Impr Total]]-Sales[[#This Row],[24Bldg]])/Sales[[#This Row],[24Bldg]],0)</f>
        <v>5.1195426195426198E-2</v>
      </c>
      <c r="DC162">
        <f>(Sales[[#This Row],[Adjusted Land Total]]-Sales[[#This Row],[24Lnd]])/Sales[[#This Row],[24Lnd]]</f>
        <v>-0.37047756874095511</v>
      </c>
      <c r="DD162">
        <f>(Sales[[#This Row],[Adjusted Total]]-Sales[[#This Row],[24Final]])/Sales[[#This Row],[24Final]]</f>
        <v>-1.2998457810090328E-2</v>
      </c>
      <c r="DE162">
        <f>(Sales[[#This Row],[Adjusted Total]]+Sales[[#This Row],[Days Prior Total]])/Sales[[#This Row],[Price]]</f>
        <v>0.92991902131105397</v>
      </c>
    </row>
    <row r="163" spans="1:109" x14ac:dyDescent="0.3">
      <c r="A163">
        <v>2025</v>
      </c>
      <c r="B163">
        <v>18131642421</v>
      </c>
      <c r="C163">
        <v>-0.6348782724359695</v>
      </c>
      <c r="D163">
        <v>0.53</v>
      </c>
      <c r="E163">
        <v>23107</v>
      </c>
      <c r="F163">
        <v>5</v>
      </c>
      <c r="G163" t="s">
        <v>89</v>
      </c>
      <c r="H163">
        <v>3041</v>
      </c>
      <c r="I163" t="s">
        <v>302</v>
      </c>
      <c r="J163" t="s">
        <v>26</v>
      </c>
      <c r="K163">
        <v>11</v>
      </c>
      <c r="L163">
        <v>259</v>
      </c>
      <c r="M163" t="s">
        <v>172</v>
      </c>
      <c r="N163" t="s">
        <v>75</v>
      </c>
      <c r="O163" t="s">
        <v>207</v>
      </c>
      <c r="P163">
        <v>1962</v>
      </c>
      <c r="Q163">
        <v>1985</v>
      </c>
      <c r="R163">
        <v>70</v>
      </c>
      <c r="S163">
        <v>62</v>
      </c>
      <c r="T163">
        <v>39</v>
      </c>
      <c r="U163">
        <v>1</v>
      </c>
      <c r="V163">
        <v>1852</v>
      </c>
      <c r="W163">
        <v>0</v>
      </c>
      <c r="X163">
        <v>0</v>
      </c>
      <c r="Y163">
        <v>1668</v>
      </c>
      <c r="Z163">
        <v>1668</v>
      </c>
      <c r="AA163">
        <v>0</v>
      </c>
      <c r="AB163">
        <v>3520</v>
      </c>
      <c r="AC163">
        <v>4000</v>
      </c>
      <c r="AD163">
        <v>2</v>
      </c>
      <c r="AF163" t="s">
        <v>275</v>
      </c>
      <c r="AG163" t="s">
        <v>111</v>
      </c>
      <c r="AH163" t="s">
        <v>314</v>
      </c>
      <c r="AI163">
        <v>0</v>
      </c>
      <c r="AJ163">
        <v>2</v>
      </c>
      <c r="AK163">
        <v>0</v>
      </c>
      <c r="AL163">
        <v>1</v>
      </c>
      <c r="AM163">
        <v>1</v>
      </c>
      <c r="AN163">
        <v>13</v>
      </c>
      <c r="AO163">
        <v>600</v>
      </c>
      <c r="AP163">
        <v>0</v>
      </c>
      <c r="AQ163">
        <v>600</v>
      </c>
      <c r="AR163">
        <v>0</v>
      </c>
      <c r="AS163">
        <v>0</v>
      </c>
      <c r="AT163">
        <v>401</v>
      </c>
      <c r="AU163">
        <v>0</v>
      </c>
      <c r="AV163">
        <v>100</v>
      </c>
      <c r="AW163">
        <v>100</v>
      </c>
      <c r="AX163">
        <v>622305</v>
      </c>
      <c r="AY163">
        <v>547628</v>
      </c>
      <c r="AZ163">
        <v>510</v>
      </c>
      <c r="BA163">
        <v>365</v>
      </c>
      <c r="BB163">
        <v>145</v>
      </c>
      <c r="BC163">
        <v>0</v>
      </c>
      <c r="BD163" s="6">
        <v>44782</v>
      </c>
      <c r="BE163" t="s">
        <v>239</v>
      </c>
      <c r="BF163">
        <v>593000</v>
      </c>
      <c r="BG163">
        <v>573540</v>
      </c>
      <c r="BH163" t="s">
        <v>198</v>
      </c>
      <c r="BI163">
        <v>30</v>
      </c>
      <c r="BJ163" t="s">
        <v>51</v>
      </c>
      <c r="BK163" t="s">
        <v>314</v>
      </c>
      <c r="BL163">
        <v>576000</v>
      </c>
      <c r="BM163">
        <v>124500</v>
      </c>
      <c r="BN163">
        <v>451500</v>
      </c>
      <c r="BO163">
        <v>19460</v>
      </c>
      <c r="BP163">
        <v>0.97133220910623941</v>
      </c>
      <c r="BQ163">
        <v>581142.41884867346</v>
      </c>
      <c r="BR163">
        <v>625075.57609696372</v>
      </c>
      <c r="BS163" s="7">
        <f>(BR163-BL163)/BL163</f>
        <v>8.5200652946117575E-2</v>
      </c>
      <c r="BT163" s="14">
        <f>(Sales[[#This Row],[DP1]]*Lookups!$B$51)+(Sales[[#This Row],[DP2]]*Lookups!$B$52)+(Sales[[#This Row],[DP3]]*Lookups!$B$53)</f>
        <v>-43933.170830000003</v>
      </c>
      <c r="BU163" s="14">
        <f>Lookups!$B$48*0.5</f>
        <v>87214.824999999997</v>
      </c>
      <c r="BV163" s="14">
        <f>Lookups!$B$48*0.5</f>
        <v>87214.824999999997</v>
      </c>
      <c r="BW163" s="14">
        <f>Lookups!$B$49*Sales[[#This Row],[LnAcres]]</f>
        <v>-15889.63563127349</v>
      </c>
      <c r="BX163" s="14">
        <f>VLOOKUP(Sales[[#This Row],[Qlty]],Lookups!$A$54:$E$67,2,FALSE)</f>
        <v>19189.450408000001</v>
      </c>
      <c r="BY163" s="14">
        <f>VLOOKUP(Sales[[#This Row],[Cnd]],Lookups!$A$68:$E$76,2,FALSE)</f>
        <v>47273.897095</v>
      </c>
      <c r="BZ163" s="14">
        <f>Sales[[#This Row],[Age]]*Lookups!$B$77</f>
        <v>11439.77066</v>
      </c>
      <c r="CA163" s="14">
        <f>Sales[[#This Row],[MainFn]]*Lookups!$B$78</f>
        <v>127942.56606800001</v>
      </c>
      <c r="CB163" s="14">
        <f>Sales[[#This Row],[UpprFn]]*Lookups!$B$79</f>
        <v>0</v>
      </c>
      <c r="CC163" s="14">
        <f>Sales[[#This Row],[AddFn]]*Lookups!$B$80</f>
        <v>0</v>
      </c>
      <c r="CD163" s="14">
        <f>Sales[[#This Row],[Bsmt]]*Lookups!$B$81</f>
        <v>47719.241543999997</v>
      </c>
      <c r="CE163" s="14">
        <f>Sales[[#This Row],[Fixtures]]*Lookups!$B$84</f>
        <v>132016.30000000002</v>
      </c>
      <c r="CF163" s="14">
        <f>Sales[[#This Row],[MsnryFP]]*Lookups!$B$82</f>
        <v>50547.245999999999</v>
      </c>
      <c r="CG163" s="14">
        <f>Sales[[#This Row],[PrefabFP]]*Lookups!$B$83</f>
        <v>0</v>
      </c>
      <c r="CH163" s="14">
        <f>Sales[[#This Row],[GarageArea]]*Lookups!$B$85</f>
        <v>30407.0982</v>
      </c>
      <c r="CI163" s="14">
        <f>SUM(Sales[[#This Row],[Days Prior Total]:[Mdl GarageArea]])</f>
        <v>581142.41351372655</v>
      </c>
      <c r="CJ163" s="14">
        <f>ROUND(Sales[[#This Row],[25Det]],-2)</f>
        <v>19500</v>
      </c>
      <c r="CK163" s="14">
        <f>ROUND(SUM(Sales[[#This Row],[Mdl Qlty]:[Mdl GarageArea]])+Sales[[#This Row],[Mdl Res Intercept]]+Sales[[#This Row],[Days Prior Total]],-2)</f>
        <v>509800</v>
      </c>
      <c r="CL163" s="14">
        <f>ROUND(Sales[[#This Row],[Mdl Land Intercept]]+Sales[[#This Row],[Mdl LnAcres]],-2)</f>
        <v>71300</v>
      </c>
      <c r="CM163" s="14">
        <f>Sales[[#This Row],[Unadj Res Value]]+Sales[[#This Row],[Unadj Det Value]]+Sales[[#This Row],[Unadj Land Value]]</f>
        <v>600600</v>
      </c>
      <c r="CN163" s="15">
        <f>Sales[[#This Row],[Unadj Total Value]]/Sales[[#This Row],[Price]]</f>
        <v>1.0128161888701517</v>
      </c>
      <c r="CO163" s="15">
        <f>(Sales[[#This Row],[Unadj Total Value]]-Sales[[#This Row],[24Final]])/Sales[[#This Row],[24Final]]</f>
        <v>4.2708333333333334E-2</v>
      </c>
      <c r="CP163">
        <f>VLOOKUP(Sales[[#This Row],[TNbhd]],Lookups!$M$2:$P$4,4,FALSE)</f>
        <v>0.97570000000000001</v>
      </c>
      <c r="CQ163">
        <f>VLOOKUP(Sales[[#This Row],[Qlty]],Lookups!$M$6:$P$20,4,FALSE)</f>
        <v>0.9819</v>
      </c>
      <c r="CR163">
        <f>VLOOKUP(Sales[[#This Row],[Cnd]],Lookups!$R$6:$U$15,4,FALSE)</f>
        <v>0.97829999999999995</v>
      </c>
      <c r="CS163">
        <f>VLOOKUP(Sales[[#This Row],[LivArea Range]],Lookups!$R$23:$U$39,4,FALSE)</f>
        <v>1.034</v>
      </c>
      <c r="CT163">
        <f>VLOOKUP(Sales[[#This Row],[Decade]],Lookups!$M$23:$P$35,4,FALSE)</f>
        <v>0.95089999999999997</v>
      </c>
      <c r="CU163">
        <f>Sales[[#This Row],[Nbhd Adj]]*0.95</f>
        <v>0.92691499999999993</v>
      </c>
      <c r="CV163">
        <f>Sales[[#This Row],[Nbhd Adj]]*Sales[[#This Row],[Quality Adj]]*Sales[[#This Row],[Condition Adj]]*Sales[[#This Row],[Living Area Adj]]*Sales[[#This Row],[Decade Adj]]*0.95</f>
        <v>0.87545657743628402</v>
      </c>
      <c r="CW163">
        <f>ROUND(SUM(Sales[[#This Row],[Mdl Qlty]:[Mdl GarageArea]])+Sales[[#This Row],[Mdl Res Intercept]]*Sales[[#This Row],[Res Adj ]],-2)</f>
        <v>542900</v>
      </c>
      <c r="CX163">
        <f>ROUND(Sales[[#This Row],[25Det]]*Sales[[#This Row],[Det/Nbhd Adj]],-2)</f>
        <v>18000</v>
      </c>
      <c r="CY163">
        <f>Sales[[#This Row],[Adjusted Res]]+Sales[[#This Row],[Adj Det ]]</f>
        <v>560900</v>
      </c>
      <c r="CZ163">
        <f>ROUND((Sales[[#This Row],[Mdl Land Intercept]]+Sales[[#This Row],[Mdl LnAcres]])*Sales[[#This Row],[Det/Nbhd Adj]],-2)</f>
        <v>66100</v>
      </c>
      <c r="DA163">
        <f>Sales[[#This Row],[Adjusted Impr Total]]+Sales[[#This Row],[Adjusted Land Total]]</f>
        <v>627000</v>
      </c>
      <c r="DB163">
        <f>IFERROR((Sales[[#This Row],[Adjusted Impr Total]]-Sales[[#This Row],[24Bldg]])/Sales[[#This Row],[24Bldg]],0)</f>
        <v>0.24230343300110743</v>
      </c>
      <c r="DC163">
        <f>(Sales[[#This Row],[Adjusted Land Total]]-Sales[[#This Row],[24Lnd]])/Sales[[#This Row],[24Lnd]]</f>
        <v>-0.46907630522088356</v>
      </c>
      <c r="DD163">
        <f>(Sales[[#This Row],[Adjusted Total]]-Sales[[#This Row],[24Final]])/Sales[[#This Row],[24Final]]</f>
        <v>8.8541666666666671E-2</v>
      </c>
      <c r="DE163">
        <f>(Sales[[#This Row],[Adjusted Total]]+Sales[[#This Row],[Days Prior Total]])/Sales[[#This Row],[Price]]</f>
        <v>0.98324929033726816</v>
      </c>
    </row>
    <row r="164" spans="1:109" x14ac:dyDescent="0.3">
      <c r="A164">
        <v>2025</v>
      </c>
      <c r="B164">
        <v>18131532415</v>
      </c>
      <c r="C164">
        <v>-1.4271163556401458</v>
      </c>
      <c r="D164">
        <v>0.24</v>
      </c>
      <c r="E164">
        <v>10537</v>
      </c>
      <c r="F164">
        <v>5</v>
      </c>
      <c r="G164" t="s">
        <v>89</v>
      </c>
      <c r="H164">
        <v>3041</v>
      </c>
      <c r="I164" t="s">
        <v>302</v>
      </c>
      <c r="J164" t="s">
        <v>26</v>
      </c>
      <c r="K164">
        <v>11</v>
      </c>
      <c r="L164">
        <v>259</v>
      </c>
      <c r="M164" t="s">
        <v>172</v>
      </c>
      <c r="N164" t="s">
        <v>75</v>
      </c>
      <c r="O164" t="s">
        <v>207</v>
      </c>
      <c r="P164">
        <v>1962</v>
      </c>
      <c r="Q164">
        <v>1975</v>
      </c>
      <c r="R164">
        <v>70</v>
      </c>
      <c r="S164">
        <v>62</v>
      </c>
      <c r="T164">
        <v>49</v>
      </c>
      <c r="U164">
        <v>1</v>
      </c>
      <c r="V164">
        <v>1884</v>
      </c>
      <c r="W164">
        <v>0</v>
      </c>
      <c r="X164">
        <v>0</v>
      </c>
      <c r="Y164">
        <v>1664</v>
      </c>
      <c r="Z164">
        <v>1664</v>
      </c>
      <c r="AA164">
        <v>0</v>
      </c>
      <c r="AB164">
        <v>3548</v>
      </c>
      <c r="AC164">
        <v>4000</v>
      </c>
      <c r="AD164">
        <v>2</v>
      </c>
      <c r="AE164" t="s">
        <v>5</v>
      </c>
      <c r="AF164" t="s">
        <v>275</v>
      </c>
      <c r="AG164" t="s">
        <v>111</v>
      </c>
      <c r="AH164" t="s">
        <v>314</v>
      </c>
      <c r="AI164">
        <v>0</v>
      </c>
      <c r="AJ164">
        <v>2</v>
      </c>
      <c r="AK164">
        <v>0</v>
      </c>
      <c r="AL164">
        <v>2</v>
      </c>
      <c r="AM164">
        <v>1</v>
      </c>
      <c r="AN164">
        <v>13</v>
      </c>
      <c r="AO164">
        <v>504</v>
      </c>
      <c r="AP164">
        <v>0</v>
      </c>
      <c r="AQ164">
        <v>504</v>
      </c>
      <c r="AR164">
        <v>0</v>
      </c>
      <c r="AS164">
        <v>0</v>
      </c>
      <c r="AT164">
        <v>172</v>
      </c>
      <c r="AU164">
        <v>239</v>
      </c>
      <c r="AV164">
        <v>100</v>
      </c>
      <c r="AW164">
        <v>100</v>
      </c>
      <c r="AX164">
        <v>596133</v>
      </c>
      <c r="AY164">
        <v>476906</v>
      </c>
      <c r="AZ164">
        <v>993</v>
      </c>
      <c r="BA164">
        <v>365</v>
      </c>
      <c r="BB164">
        <v>365</v>
      </c>
      <c r="BC164">
        <v>263</v>
      </c>
      <c r="BD164" s="6">
        <v>44299</v>
      </c>
      <c r="BE164" t="s">
        <v>240</v>
      </c>
      <c r="BF164">
        <v>540000</v>
      </c>
      <c r="BG164">
        <v>508051</v>
      </c>
      <c r="BH164" t="s">
        <v>198</v>
      </c>
      <c r="BI164">
        <v>30</v>
      </c>
      <c r="BJ164" t="s">
        <v>51</v>
      </c>
      <c r="BK164" t="s">
        <v>314</v>
      </c>
      <c r="BL164">
        <v>537100</v>
      </c>
      <c r="BM164">
        <v>79500</v>
      </c>
      <c r="BN164">
        <v>457600</v>
      </c>
      <c r="BO164">
        <v>31949</v>
      </c>
      <c r="BP164">
        <v>0.99462962962962964</v>
      </c>
      <c r="BQ164">
        <v>498319.17559243104</v>
      </c>
      <c r="BR164">
        <v>602478.66344068258</v>
      </c>
      <c r="BS164" s="7">
        <f>(BR164-BL164)/BL164</f>
        <v>0.12172530895677262</v>
      </c>
      <c r="BT164" s="14">
        <f>(Sales[[#This Row],[DP1]]*Lookups!$B$51)+(Sales[[#This Row],[DP2]]*Lookups!$B$52)+(Sales[[#This Row],[DP3]]*Lookups!$B$53)</f>
        <v>-104159.48871000001</v>
      </c>
      <c r="BU164" s="14">
        <f>Lookups!$B$48*0.5</f>
        <v>87214.824999999997</v>
      </c>
      <c r="BV164" s="14">
        <f>Lookups!$B$48*0.5</f>
        <v>87214.824999999997</v>
      </c>
      <c r="BW164" s="14">
        <f>Lookups!$B$49*Sales[[#This Row],[LnAcres]]</f>
        <v>-35717.648373042801</v>
      </c>
      <c r="BX164" s="14">
        <f>VLOOKUP(Sales[[#This Row],[Qlty]],Lookups!$A$54:$E$67,2,FALSE)</f>
        <v>19189.450408000001</v>
      </c>
      <c r="BY164" s="14">
        <f>VLOOKUP(Sales[[#This Row],[Cnd]],Lookups!$A$68:$E$76,2,FALSE)</f>
        <v>47273.897095</v>
      </c>
      <c r="BZ164" s="14">
        <f>Sales[[#This Row],[Age]]*Lookups!$B$77</f>
        <v>11439.77066</v>
      </c>
      <c r="CA164" s="14">
        <f>Sales[[#This Row],[MainFn]]*Lookups!$B$78</f>
        <v>130153.23675600001</v>
      </c>
      <c r="CB164" s="14">
        <f>Sales[[#This Row],[UpprFn]]*Lookups!$B$79</f>
        <v>0</v>
      </c>
      <c r="CC164" s="14">
        <f>Sales[[#This Row],[AddFn]]*Lookups!$B$80</f>
        <v>0</v>
      </c>
      <c r="CD164" s="14">
        <f>Sales[[#This Row],[Bsmt]]*Lookups!$B$81</f>
        <v>47604.806912</v>
      </c>
      <c r="CE164" s="14">
        <f>Sales[[#This Row],[Fixtures]]*Lookups!$B$84</f>
        <v>132016.30000000002</v>
      </c>
      <c r="CF164" s="14">
        <f>Sales[[#This Row],[MsnryFP]]*Lookups!$B$82</f>
        <v>50547.245999999999</v>
      </c>
      <c r="CG164" s="14">
        <f>Sales[[#This Row],[PrefabFP]]*Lookups!$B$83</f>
        <v>0</v>
      </c>
      <c r="CH164" s="14">
        <f>Sales[[#This Row],[GarageArea]]*Lookups!$B$85</f>
        <v>25541.962488000001</v>
      </c>
      <c r="CI164" s="14">
        <f>SUM(Sales[[#This Row],[Days Prior Total]:[Mdl GarageArea]])</f>
        <v>498319.18323595717</v>
      </c>
      <c r="CJ164" s="14">
        <f>ROUND(Sales[[#This Row],[25Det]],-2)</f>
        <v>31900</v>
      </c>
      <c r="CK164" s="14">
        <f>ROUND(SUM(Sales[[#This Row],[Mdl Qlty]:[Mdl GarageArea]])+Sales[[#This Row],[Mdl Res Intercept]]+Sales[[#This Row],[Days Prior Total]],-2)</f>
        <v>446800</v>
      </c>
      <c r="CL164" s="14">
        <f>ROUND(Sales[[#This Row],[Mdl Land Intercept]]+Sales[[#This Row],[Mdl LnAcres]],-2)</f>
        <v>51500</v>
      </c>
      <c r="CM164" s="14">
        <f>Sales[[#This Row],[Unadj Res Value]]+Sales[[#This Row],[Unadj Det Value]]+Sales[[#This Row],[Unadj Land Value]]</f>
        <v>530200</v>
      </c>
      <c r="CN164" s="15">
        <f>Sales[[#This Row],[Unadj Total Value]]/Sales[[#This Row],[Price]]</f>
        <v>0.98185185185185186</v>
      </c>
      <c r="CO164" s="15">
        <f>(Sales[[#This Row],[Unadj Total Value]]-Sales[[#This Row],[24Final]])/Sales[[#This Row],[24Final]]</f>
        <v>-1.2846769689070937E-2</v>
      </c>
      <c r="CP164">
        <f>VLOOKUP(Sales[[#This Row],[TNbhd]],Lookups!$M$2:$P$4,4,FALSE)</f>
        <v>0.97570000000000001</v>
      </c>
      <c r="CQ164">
        <f>VLOOKUP(Sales[[#This Row],[Qlty]],Lookups!$M$6:$P$20,4,FALSE)</f>
        <v>0.9819</v>
      </c>
      <c r="CR164">
        <f>VLOOKUP(Sales[[#This Row],[Cnd]],Lookups!$R$6:$U$15,4,FALSE)</f>
        <v>0.97829999999999995</v>
      </c>
      <c r="CS164">
        <f>VLOOKUP(Sales[[#This Row],[LivArea Range]],Lookups!$R$23:$U$39,4,FALSE)</f>
        <v>1.034</v>
      </c>
      <c r="CT164">
        <f>VLOOKUP(Sales[[#This Row],[Decade]],Lookups!$M$23:$P$35,4,FALSE)</f>
        <v>0.95089999999999997</v>
      </c>
      <c r="CU164">
        <f>Sales[[#This Row],[Nbhd Adj]]*0.95</f>
        <v>0.92691499999999993</v>
      </c>
      <c r="CV164">
        <f>Sales[[#This Row],[Nbhd Adj]]*Sales[[#This Row],[Quality Adj]]*Sales[[#This Row],[Condition Adj]]*Sales[[#This Row],[Living Area Adj]]*Sales[[#This Row],[Decade Adj]]*0.95</f>
        <v>0.87545657743628402</v>
      </c>
      <c r="CW164">
        <f>ROUND(SUM(Sales[[#This Row],[Mdl Qlty]:[Mdl GarageArea]])+Sales[[#This Row],[Mdl Res Intercept]]*Sales[[#This Row],[Res Adj ]],-2)</f>
        <v>540100</v>
      </c>
      <c r="CX164">
        <f>ROUND(Sales[[#This Row],[25Det]]*Sales[[#This Row],[Det/Nbhd Adj]],-2)</f>
        <v>29600</v>
      </c>
      <c r="CY164">
        <f>Sales[[#This Row],[Adjusted Res]]+Sales[[#This Row],[Adj Det ]]</f>
        <v>569700</v>
      </c>
      <c r="CZ164">
        <f>ROUND((Sales[[#This Row],[Mdl Land Intercept]]+Sales[[#This Row],[Mdl LnAcres]])*Sales[[#This Row],[Det/Nbhd Adj]],-2)</f>
        <v>47700</v>
      </c>
      <c r="DA164">
        <f>Sales[[#This Row],[Adjusted Impr Total]]+Sales[[#This Row],[Adjusted Land Total]]</f>
        <v>617400</v>
      </c>
      <c r="DB164">
        <f>IFERROR((Sales[[#This Row],[Adjusted Impr Total]]-Sales[[#This Row],[24Bldg]])/Sales[[#This Row],[24Bldg]],0)</f>
        <v>0.24497377622377622</v>
      </c>
      <c r="DC164">
        <f>(Sales[[#This Row],[Adjusted Land Total]]-Sales[[#This Row],[24Lnd]])/Sales[[#This Row],[24Lnd]]</f>
        <v>-0.4</v>
      </c>
      <c r="DD164">
        <f>(Sales[[#This Row],[Adjusted Total]]-Sales[[#This Row],[24Final]])/Sales[[#This Row],[24Final]]</f>
        <v>0.14950660956991249</v>
      </c>
      <c r="DE164">
        <f>(Sales[[#This Row],[Adjusted Total]]+Sales[[#This Row],[Days Prior Total]])/Sales[[#This Row],[Price]]</f>
        <v>0.95044539127777772</v>
      </c>
    </row>
    <row r="165" spans="1:109" x14ac:dyDescent="0.3">
      <c r="A165">
        <v>2025</v>
      </c>
      <c r="B165">
        <v>18131644415</v>
      </c>
      <c r="C165">
        <v>-1.5141277326297755</v>
      </c>
      <c r="D165">
        <v>0.22</v>
      </c>
      <c r="E165">
        <v>9413</v>
      </c>
      <c r="F165">
        <v>5</v>
      </c>
      <c r="G165" t="s">
        <v>89</v>
      </c>
      <c r="H165">
        <v>3042</v>
      </c>
      <c r="I165" t="s">
        <v>302</v>
      </c>
      <c r="J165" t="s">
        <v>26</v>
      </c>
      <c r="K165">
        <v>11</v>
      </c>
      <c r="L165">
        <v>259</v>
      </c>
      <c r="M165" t="s">
        <v>256</v>
      </c>
      <c r="N165" t="s">
        <v>205</v>
      </c>
      <c r="O165" t="s">
        <v>231</v>
      </c>
      <c r="P165">
        <v>1960</v>
      </c>
      <c r="Q165">
        <v>1975</v>
      </c>
      <c r="R165">
        <v>70</v>
      </c>
      <c r="S165">
        <v>64</v>
      </c>
      <c r="T165">
        <v>49</v>
      </c>
      <c r="U165">
        <v>1</v>
      </c>
      <c r="V165">
        <v>946</v>
      </c>
      <c r="W165">
        <v>0</v>
      </c>
      <c r="X165">
        <v>0</v>
      </c>
      <c r="Y165">
        <v>771</v>
      </c>
      <c r="Z165">
        <v>771</v>
      </c>
      <c r="AA165">
        <v>0</v>
      </c>
      <c r="AB165">
        <v>1717</v>
      </c>
      <c r="AC165">
        <v>2000</v>
      </c>
      <c r="AD165">
        <v>0</v>
      </c>
      <c r="AF165" t="s">
        <v>275</v>
      </c>
      <c r="AG165" t="s">
        <v>111</v>
      </c>
      <c r="AH165" t="s">
        <v>314</v>
      </c>
      <c r="AI165">
        <v>0</v>
      </c>
      <c r="AJ165">
        <v>1</v>
      </c>
      <c r="AK165">
        <v>0</v>
      </c>
      <c r="AL165">
        <v>0</v>
      </c>
      <c r="AM165">
        <v>1</v>
      </c>
      <c r="AN165">
        <v>7</v>
      </c>
      <c r="AO165">
        <v>0</v>
      </c>
      <c r="AP165">
        <v>0</v>
      </c>
      <c r="AQ165">
        <v>0</v>
      </c>
      <c r="AR165">
        <v>280</v>
      </c>
      <c r="AS165">
        <v>0</v>
      </c>
      <c r="AT165">
        <v>207</v>
      </c>
      <c r="AU165">
        <v>0</v>
      </c>
      <c r="AV165">
        <v>100</v>
      </c>
      <c r="AW165">
        <v>100</v>
      </c>
      <c r="AX165">
        <v>265338</v>
      </c>
      <c r="AY165">
        <v>191043</v>
      </c>
      <c r="AZ165">
        <v>881</v>
      </c>
      <c r="BA165">
        <v>365</v>
      </c>
      <c r="BB165">
        <v>365</v>
      </c>
      <c r="BC165">
        <v>151</v>
      </c>
      <c r="BD165" s="6">
        <v>44411</v>
      </c>
      <c r="BE165" t="s">
        <v>260</v>
      </c>
      <c r="BF165">
        <v>279000</v>
      </c>
      <c r="BG165">
        <v>279000</v>
      </c>
      <c r="BH165" t="s">
        <v>198</v>
      </c>
      <c r="BI165">
        <v>30</v>
      </c>
      <c r="BJ165" t="s">
        <v>51</v>
      </c>
      <c r="BK165" t="s">
        <v>314</v>
      </c>
      <c r="BL165">
        <v>291900</v>
      </c>
      <c r="BM165">
        <v>74500</v>
      </c>
      <c r="BN165">
        <v>217400</v>
      </c>
      <c r="BO165">
        <v>0</v>
      </c>
      <c r="BP165">
        <v>1.0462365591397849</v>
      </c>
      <c r="BQ165">
        <v>232201.11704400636</v>
      </c>
      <c r="BR165">
        <v>301798.96749131952</v>
      </c>
      <c r="BS165" s="7">
        <f>(BR165-BL165)/BL165</f>
        <v>3.3912187363204935E-2</v>
      </c>
      <c r="BT165" s="14">
        <f>(Sales[[#This Row],[DP1]]*Lookups!$B$51)+(Sales[[#This Row],[DP2]]*Lookups!$B$52)+(Sales[[#This Row],[DP3]]*Lookups!$B$53)</f>
        <v>-69597.856710000007</v>
      </c>
      <c r="BU165" s="14">
        <f>Lookups!$B$48*0.5</f>
        <v>87214.824999999997</v>
      </c>
      <c r="BV165" s="14">
        <f>Lookups!$B$48*0.5</f>
        <v>87214.824999999997</v>
      </c>
      <c r="BW165" s="14">
        <f>Lookups!$B$49*Sales[[#This Row],[LnAcres]]</f>
        <v>-37895.355716587197</v>
      </c>
      <c r="BX165" s="14">
        <f>VLOOKUP(Sales[[#This Row],[Qlty]],Lookups!$A$54:$E$67,2,FALSE)</f>
        <v>30313.66692</v>
      </c>
      <c r="BY165" s="14">
        <f>VLOOKUP(Sales[[#This Row],[Cnd]],Lookups!$A$68:$E$76,2,FALSE)</f>
        <v>0</v>
      </c>
      <c r="BZ165" s="14">
        <f>Sales[[#This Row],[Age]]*Lookups!$B$77</f>
        <v>11808.79552</v>
      </c>
      <c r="CA165" s="14">
        <f>Sales[[#This Row],[MainFn]]*Lookups!$B$78</f>
        <v>65352.952214000004</v>
      </c>
      <c r="CB165" s="14">
        <f>Sales[[#This Row],[UpprFn]]*Lookups!$B$79</f>
        <v>0</v>
      </c>
      <c r="CC165" s="14">
        <f>Sales[[#This Row],[AddFn]]*Lookups!$B$80</f>
        <v>0</v>
      </c>
      <c r="CD165" s="14">
        <f>Sales[[#This Row],[Bsmt]]*Lookups!$B$81</f>
        <v>22057.275318</v>
      </c>
      <c r="CE165" s="14">
        <f>Sales[[#This Row],[Fixtures]]*Lookups!$B$84</f>
        <v>71085.7</v>
      </c>
      <c r="CF165" s="14">
        <f>Sales[[#This Row],[MsnryFP]]*Lookups!$B$82</f>
        <v>25273.623</v>
      </c>
      <c r="CG165" s="14">
        <f>Sales[[#This Row],[PrefabFP]]*Lookups!$B$83</f>
        <v>0</v>
      </c>
      <c r="CH165" s="14">
        <f>Sales[[#This Row],[GarageArea]]*Lookups!$B$85</f>
        <v>0</v>
      </c>
      <c r="CI165" s="14">
        <f>SUM(Sales[[#This Row],[Days Prior Total]:[Mdl GarageArea]])</f>
        <v>292828.45054541284</v>
      </c>
      <c r="CJ165" s="14">
        <f>ROUND(Sales[[#This Row],[25Det]],-2)</f>
        <v>0</v>
      </c>
      <c r="CK165" s="14">
        <f>ROUND(SUM(Sales[[#This Row],[Mdl Qlty]:[Mdl GarageArea]])+Sales[[#This Row],[Mdl Res Intercept]]+Sales[[#This Row],[Days Prior Total]],-2)</f>
        <v>243500</v>
      </c>
      <c r="CL165" s="14">
        <f>ROUND(Sales[[#This Row],[Mdl Land Intercept]]+Sales[[#This Row],[Mdl LnAcres]],-2)</f>
        <v>49300</v>
      </c>
      <c r="CM165" s="14">
        <f>Sales[[#This Row],[Unadj Res Value]]+Sales[[#This Row],[Unadj Det Value]]+Sales[[#This Row],[Unadj Land Value]]</f>
        <v>292800</v>
      </c>
      <c r="CN165" s="15">
        <f>Sales[[#This Row],[Unadj Total Value]]/Sales[[#This Row],[Price]]</f>
        <v>1.0494623655913979</v>
      </c>
      <c r="CO165" s="15">
        <f>(Sales[[#This Row],[Unadj Total Value]]-Sales[[#This Row],[24Final]])/Sales[[#This Row],[24Final]]</f>
        <v>3.0832476875642342E-3</v>
      </c>
      <c r="CP165">
        <f>VLOOKUP(Sales[[#This Row],[TNbhd]],Lookups!$M$2:$P$4,4,FALSE)</f>
        <v>0.97570000000000001</v>
      </c>
      <c r="CQ165">
        <f>VLOOKUP(Sales[[#This Row],[Qlty]],Lookups!$M$6:$P$20,4,FALSE)</f>
        <v>0.85299999999999998</v>
      </c>
      <c r="CR165">
        <f>VLOOKUP(Sales[[#This Row],[Cnd]],Lookups!$R$6:$U$15,4,FALSE)</f>
        <v>0.9677</v>
      </c>
      <c r="CS165">
        <f>VLOOKUP(Sales[[#This Row],[LivArea Range]],Lookups!$R$23:$U$39,4,FALSE)</f>
        <v>0.99099999999999999</v>
      </c>
      <c r="CT165">
        <f>VLOOKUP(Sales[[#This Row],[Decade]],Lookups!$M$23:$P$35,4,FALSE)</f>
        <v>0.95089999999999997</v>
      </c>
      <c r="CU165">
        <f>Sales[[#This Row],[Nbhd Adj]]*0.95</f>
        <v>0.92691499999999993</v>
      </c>
      <c r="CV165">
        <f>Sales[[#This Row],[Nbhd Adj]]*Sales[[#This Row],[Quality Adj]]*Sales[[#This Row],[Condition Adj]]*Sales[[#This Row],[Living Area Adj]]*Sales[[#This Row],[Decade Adj]]*0.95</f>
        <v>0.72100484713116952</v>
      </c>
      <c r="CW165">
        <f>ROUND(SUM(Sales[[#This Row],[Mdl Qlty]:[Mdl GarageArea]])+Sales[[#This Row],[Mdl Res Intercept]]*Sales[[#This Row],[Res Adj ]],-2)</f>
        <v>288800</v>
      </c>
      <c r="CX165">
        <f>ROUND(Sales[[#This Row],[25Det]]*Sales[[#This Row],[Det/Nbhd Adj]],-2)</f>
        <v>0</v>
      </c>
      <c r="CY165">
        <f>Sales[[#This Row],[Adjusted Res]]+Sales[[#This Row],[Adj Det ]]</f>
        <v>288800</v>
      </c>
      <c r="CZ165">
        <f>ROUND((Sales[[#This Row],[Mdl Land Intercept]]+Sales[[#This Row],[Mdl LnAcres]])*Sales[[#This Row],[Det/Nbhd Adj]],-2)</f>
        <v>45700</v>
      </c>
      <c r="DA165">
        <f>Sales[[#This Row],[Adjusted Impr Total]]+Sales[[#This Row],[Adjusted Land Total]]</f>
        <v>334500</v>
      </c>
      <c r="DB165">
        <f>IFERROR((Sales[[#This Row],[Adjusted Impr Total]]-Sales[[#This Row],[24Bldg]])/Sales[[#This Row],[24Bldg]],0)</f>
        <v>0.32842686292548295</v>
      </c>
      <c r="DC165">
        <f>(Sales[[#This Row],[Adjusted Land Total]]-Sales[[#This Row],[24Lnd]])/Sales[[#This Row],[24Lnd]]</f>
        <v>-0.38657718120805368</v>
      </c>
      <c r="DD165">
        <f>(Sales[[#This Row],[Adjusted Total]]-Sales[[#This Row],[24Final]])/Sales[[#This Row],[24Final]]</f>
        <v>0.14594039054470709</v>
      </c>
      <c r="DE165">
        <f>(Sales[[#This Row],[Adjusted Total]]+Sales[[#This Row],[Days Prior Total]])/Sales[[#This Row],[Price]]</f>
        <v>0.94947004763440856</v>
      </c>
    </row>
    <row r="166" spans="1:109" x14ac:dyDescent="0.3">
      <c r="A166">
        <v>2025</v>
      </c>
      <c r="B166">
        <v>18131643408</v>
      </c>
      <c r="C166">
        <v>-0.84397007029452897</v>
      </c>
      <c r="D166">
        <v>0.43</v>
      </c>
      <c r="E166">
        <v>18657</v>
      </c>
      <c r="F166">
        <v>5</v>
      </c>
      <c r="G166" t="s">
        <v>89</v>
      </c>
      <c r="H166">
        <v>3041</v>
      </c>
      <c r="I166" t="s">
        <v>302</v>
      </c>
      <c r="J166" t="s">
        <v>26</v>
      </c>
      <c r="K166">
        <v>11</v>
      </c>
      <c r="L166">
        <v>259</v>
      </c>
      <c r="M166" t="s">
        <v>172</v>
      </c>
      <c r="N166" t="s">
        <v>111</v>
      </c>
      <c r="O166" t="s">
        <v>231</v>
      </c>
      <c r="P166">
        <v>1960</v>
      </c>
      <c r="Q166">
        <v>1975</v>
      </c>
      <c r="R166">
        <v>70</v>
      </c>
      <c r="S166">
        <v>64</v>
      </c>
      <c r="T166">
        <v>49</v>
      </c>
      <c r="U166">
        <v>1</v>
      </c>
      <c r="V166">
        <v>1540</v>
      </c>
      <c r="W166">
        <v>0</v>
      </c>
      <c r="X166">
        <v>0</v>
      </c>
      <c r="Y166">
        <v>1254</v>
      </c>
      <c r="Z166">
        <v>1238</v>
      </c>
      <c r="AA166">
        <v>16</v>
      </c>
      <c r="AB166">
        <v>2778</v>
      </c>
      <c r="AC166">
        <v>3000</v>
      </c>
      <c r="AD166">
        <v>1</v>
      </c>
      <c r="AE166" t="s">
        <v>5</v>
      </c>
      <c r="AF166" t="s">
        <v>275</v>
      </c>
      <c r="AG166" t="s">
        <v>274</v>
      </c>
      <c r="AH166" t="s">
        <v>314</v>
      </c>
      <c r="AI166">
        <v>0</v>
      </c>
      <c r="AJ166">
        <v>2</v>
      </c>
      <c r="AK166">
        <v>0</v>
      </c>
      <c r="AL166">
        <v>2</v>
      </c>
      <c r="AM166">
        <v>0</v>
      </c>
      <c r="AN166">
        <v>13</v>
      </c>
      <c r="AO166">
        <v>0</v>
      </c>
      <c r="AP166">
        <v>286</v>
      </c>
      <c r="AQ166">
        <v>286</v>
      </c>
      <c r="AR166">
        <v>0</v>
      </c>
      <c r="AS166">
        <v>384</v>
      </c>
      <c r="AT166">
        <v>0</v>
      </c>
      <c r="AU166">
        <v>0</v>
      </c>
      <c r="AV166">
        <v>100</v>
      </c>
      <c r="AW166">
        <v>100</v>
      </c>
      <c r="AX166">
        <v>450869</v>
      </c>
      <c r="AY166">
        <v>324626</v>
      </c>
      <c r="AZ166">
        <v>797</v>
      </c>
      <c r="BA166">
        <v>365</v>
      </c>
      <c r="BB166">
        <v>365</v>
      </c>
      <c r="BC166">
        <v>67</v>
      </c>
      <c r="BD166" s="6">
        <v>44495</v>
      </c>
      <c r="BE166" t="s">
        <v>135</v>
      </c>
      <c r="BF166">
        <v>385000</v>
      </c>
      <c r="BG166">
        <v>385000</v>
      </c>
      <c r="BH166" t="s">
        <v>198</v>
      </c>
      <c r="BI166">
        <v>30</v>
      </c>
      <c r="BJ166" t="s">
        <v>51</v>
      </c>
      <c r="BK166" t="s">
        <v>314</v>
      </c>
      <c r="BL166">
        <v>463100</v>
      </c>
      <c r="BM166">
        <v>112600</v>
      </c>
      <c r="BN166">
        <v>350500</v>
      </c>
      <c r="BO166">
        <v>0</v>
      </c>
      <c r="BP166">
        <v>1.2028571428571428</v>
      </c>
      <c r="BQ166">
        <v>446430.74720009824</v>
      </c>
      <c r="BR166">
        <v>490107.36959670752</v>
      </c>
      <c r="BS166" s="7">
        <f>(BR166-BL166)/BL166</f>
        <v>5.8318656006710254E-2</v>
      </c>
      <c r="BT166" s="14">
        <f>(Sales[[#This Row],[DP1]]*Lookups!$B$51)+(Sales[[#This Row],[DP2]]*Lookups!$B$52)+(Sales[[#This Row],[DP3]]*Lookups!$B$53)</f>
        <v>-43676.632710000005</v>
      </c>
      <c r="BU166" s="14">
        <f>Lookups!$B$48*0.5</f>
        <v>87214.824999999997</v>
      </c>
      <c r="BV166" s="14">
        <f>Lookups!$B$48*0.5</f>
        <v>87214.824999999997</v>
      </c>
      <c r="BW166" s="14">
        <f>Lookups!$B$49*Sales[[#This Row],[LnAcres]]</f>
        <v>-21122.752947940648</v>
      </c>
      <c r="BX166" s="14">
        <f>VLOOKUP(Sales[[#This Row],[Qlty]],Lookups!$A$54:$E$67,2,FALSE)</f>
        <v>-14329.694740000001</v>
      </c>
      <c r="BY166" s="14">
        <f>VLOOKUP(Sales[[#This Row],[Cnd]],Lookups!$A$68:$E$76,2,FALSE)</f>
        <v>0</v>
      </c>
      <c r="BZ166" s="14">
        <f>Sales[[#This Row],[Age]]*Lookups!$B$77</f>
        <v>11808.79552</v>
      </c>
      <c r="CA166" s="14">
        <f>Sales[[#This Row],[MainFn]]*Lookups!$B$78</f>
        <v>106388.52686000001</v>
      </c>
      <c r="CB166" s="14">
        <f>Sales[[#This Row],[UpprFn]]*Lookups!$B$79</f>
        <v>0</v>
      </c>
      <c r="CC166" s="14">
        <f>Sales[[#This Row],[AddFn]]*Lookups!$B$80</f>
        <v>0</v>
      </c>
      <c r="CD166" s="14">
        <f>Sales[[#This Row],[Bsmt]]*Lookups!$B$81</f>
        <v>35875.257131999999</v>
      </c>
      <c r="CE166" s="14">
        <f>Sales[[#This Row],[Fixtures]]*Lookups!$B$84</f>
        <v>132016.30000000002</v>
      </c>
      <c r="CF166" s="14">
        <f>Sales[[#This Row],[MsnryFP]]*Lookups!$B$82</f>
        <v>50547.245999999999</v>
      </c>
      <c r="CG166" s="14">
        <f>Sales[[#This Row],[PrefabFP]]*Lookups!$B$83</f>
        <v>0</v>
      </c>
      <c r="CH166" s="14">
        <f>Sales[[#This Row],[GarageArea]]*Lookups!$B$85</f>
        <v>14494.050142</v>
      </c>
      <c r="CI166" s="14">
        <f>SUM(Sales[[#This Row],[Days Prior Total]:[Mdl GarageArea]])</f>
        <v>446430.74525605934</v>
      </c>
      <c r="CJ166" s="14">
        <f>ROUND(Sales[[#This Row],[25Det]],-2)</f>
        <v>0</v>
      </c>
      <c r="CK166" s="14">
        <f>ROUND(SUM(Sales[[#This Row],[Mdl Qlty]:[Mdl GarageArea]])+Sales[[#This Row],[Mdl Res Intercept]]+Sales[[#This Row],[Days Prior Total]],-2)</f>
        <v>380300</v>
      </c>
      <c r="CL166" s="14">
        <f>ROUND(Sales[[#This Row],[Mdl Land Intercept]]+Sales[[#This Row],[Mdl LnAcres]],-2)</f>
        <v>66100</v>
      </c>
      <c r="CM166" s="14">
        <f>Sales[[#This Row],[Unadj Res Value]]+Sales[[#This Row],[Unadj Det Value]]+Sales[[#This Row],[Unadj Land Value]]</f>
        <v>446400</v>
      </c>
      <c r="CN166" s="15">
        <f>Sales[[#This Row],[Unadj Total Value]]/Sales[[#This Row],[Price]]</f>
        <v>1.1594805194805196</v>
      </c>
      <c r="CO166" s="15">
        <f>(Sales[[#This Row],[Unadj Total Value]]-Sales[[#This Row],[24Final]])/Sales[[#This Row],[24Final]]</f>
        <v>-3.6061325847549126E-2</v>
      </c>
      <c r="CP166">
        <f>VLOOKUP(Sales[[#This Row],[TNbhd]],Lookups!$M$2:$P$4,4,FALSE)</f>
        <v>0.97570000000000001</v>
      </c>
      <c r="CQ166">
        <f>VLOOKUP(Sales[[#This Row],[Qlty]],Lookups!$M$6:$P$20,4,FALSE)</f>
        <v>0.98809999999999998</v>
      </c>
      <c r="CR166">
        <f>VLOOKUP(Sales[[#This Row],[Cnd]],Lookups!$R$6:$U$15,4,FALSE)</f>
        <v>0.9677</v>
      </c>
      <c r="CS166">
        <f>VLOOKUP(Sales[[#This Row],[LivArea Range]],Lookups!$R$23:$U$39,4,FALSE)</f>
        <v>0.93310000000000004</v>
      </c>
      <c r="CT166">
        <f>VLOOKUP(Sales[[#This Row],[Decade]],Lookups!$M$23:$P$35,4,FALSE)</f>
        <v>0.95089999999999997</v>
      </c>
      <c r="CU166">
        <f>Sales[[#This Row],[Nbhd Adj]]*0.95</f>
        <v>0.92691499999999993</v>
      </c>
      <c r="CV166">
        <f>Sales[[#This Row],[Nbhd Adj]]*Sales[[#This Row],[Quality Adj]]*Sales[[#This Row],[Condition Adj]]*Sales[[#This Row],[Living Area Adj]]*Sales[[#This Row],[Decade Adj]]*0.95</f>
        <v>0.7864019603702761</v>
      </c>
      <c r="CW166">
        <f>ROUND(SUM(Sales[[#This Row],[Mdl Qlty]:[Mdl GarageArea]])+Sales[[#This Row],[Mdl Res Intercept]]*Sales[[#This Row],[Res Adj ]],-2)</f>
        <v>405400</v>
      </c>
      <c r="CX166">
        <f>ROUND(Sales[[#This Row],[25Det]]*Sales[[#This Row],[Det/Nbhd Adj]],-2)</f>
        <v>0</v>
      </c>
      <c r="CY166">
        <f>Sales[[#This Row],[Adjusted Res]]+Sales[[#This Row],[Adj Det ]]</f>
        <v>405400</v>
      </c>
      <c r="CZ166">
        <f>ROUND((Sales[[#This Row],[Mdl Land Intercept]]+Sales[[#This Row],[Mdl LnAcres]])*Sales[[#This Row],[Det/Nbhd Adj]],-2)</f>
        <v>61300</v>
      </c>
      <c r="DA166">
        <f>Sales[[#This Row],[Adjusted Impr Total]]+Sales[[#This Row],[Adjusted Land Total]]</f>
        <v>466700</v>
      </c>
      <c r="DB166">
        <f>IFERROR((Sales[[#This Row],[Adjusted Impr Total]]-Sales[[#This Row],[24Bldg]])/Sales[[#This Row],[24Bldg]],0)</f>
        <v>0.15663338088445078</v>
      </c>
      <c r="DC166">
        <f>(Sales[[#This Row],[Adjusted Land Total]]-Sales[[#This Row],[24Lnd]])/Sales[[#This Row],[24Lnd]]</f>
        <v>-0.45559502664298401</v>
      </c>
      <c r="DD166">
        <f>(Sales[[#This Row],[Adjusted Total]]-Sales[[#This Row],[24Final]])/Sales[[#This Row],[24Final]]</f>
        <v>7.77369898510041E-3</v>
      </c>
      <c r="DE166">
        <f>(Sales[[#This Row],[Adjusted Total]]+Sales[[#This Row],[Days Prior Total]])/Sales[[#This Row],[Price]]</f>
        <v>1.0987619929610388</v>
      </c>
    </row>
    <row r="167" spans="1:109" x14ac:dyDescent="0.3">
      <c r="A167">
        <v>2025</v>
      </c>
      <c r="B167">
        <v>18131644477</v>
      </c>
      <c r="C167">
        <v>-1.6607312068216509</v>
      </c>
      <c r="D167">
        <v>0.19</v>
      </c>
      <c r="E167">
        <v>8400</v>
      </c>
      <c r="F167">
        <v>5</v>
      </c>
      <c r="G167" t="s">
        <v>89</v>
      </c>
      <c r="H167">
        <v>3042</v>
      </c>
      <c r="I167" t="s">
        <v>302</v>
      </c>
      <c r="J167" t="s">
        <v>26</v>
      </c>
      <c r="K167">
        <v>11</v>
      </c>
      <c r="L167">
        <v>259</v>
      </c>
      <c r="M167" t="s">
        <v>172</v>
      </c>
      <c r="N167" t="s">
        <v>111</v>
      </c>
      <c r="O167" t="s">
        <v>207</v>
      </c>
      <c r="P167">
        <v>1960</v>
      </c>
      <c r="Q167">
        <v>1975</v>
      </c>
      <c r="R167">
        <v>70</v>
      </c>
      <c r="S167">
        <v>64</v>
      </c>
      <c r="T167">
        <v>49</v>
      </c>
      <c r="U167">
        <v>1</v>
      </c>
      <c r="V167">
        <v>1734</v>
      </c>
      <c r="W167">
        <v>0</v>
      </c>
      <c r="X167">
        <v>0</v>
      </c>
      <c r="Y167">
        <v>992</v>
      </c>
      <c r="Z167">
        <v>100</v>
      </c>
      <c r="AA167">
        <v>892</v>
      </c>
      <c r="AB167">
        <v>1834</v>
      </c>
      <c r="AC167">
        <v>2000</v>
      </c>
      <c r="AD167">
        <v>0</v>
      </c>
      <c r="AE167" t="s">
        <v>5</v>
      </c>
      <c r="AF167" t="s">
        <v>275</v>
      </c>
      <c r="AG167" t="s">
        <v>111</v>
      </c>
      <c r="AH167" t="s">
        <v>314</v>
      </c>
      <c r="AI167">
        <v>0</v>
      </c>
      <c r="AJ167">
        <v>1</v>
      </c>
      <c r="AK167">
        <v>0</v>
      </c>
      <c r="AL167">
        <v>1</v>
      </c>
      <c r="AM167">
        <v>1</v>
      </c>
      <c r="AN167">
        <v>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464</v>
      </c>
      <c r="AU167">
        <v>464</v>
      </c>
      <c r="AV167">
        <v>100</v>
      </c>
      <c r="AW167">
        <v>100</v>
      </c>
      <c r="AX167">
        <v>372847</v>
      </c>
      <c r="AY167">
        <v>294549</v>
      </c>
      <c r="AZ167">
        <v>199</v>
      </c>
      <c r="BA167">
        <v>199</v>
      </c>
      <c r="BB167">
        <v>0</v>
      </c>
      <c r="BC167">
        <v>0</v>
      </c>
      <c r="BD167" s="6">
        <v>45093</v>
      </c>
      <c r="BE167" t="s">
        <v>58</v>
      </c>
      <c r="BF167">
        <v>300000</v>
      </c>
      <c r="BG167">
        <v>300000</v>
      </c>
      <c r="BH167" t="s">
        <v>198</v>
      </c>
      <c r="BI167">
        <v>30</v>
      </c>
      <c r="BJ167" t="s">
        <v>51</v>
      </c>
      <c r="BK167" t="s">
        <v>314</v>
      </c>
      <c r="BL167">
        <v>362100</v>
      </c>
      <c r="BM167">
        <v>66200</v>
      </c>
      <c r="BN167">
        <v>295900</v>
      </c>
      <c r="BO167">
        <v>0</v>
      </c>
      <c r="BP167">
        <v>1.2070000000000001</v>
      </c>
      <c r="BQ167">
        <v>390673.71603890834</v>
      </c>
      <c r="BR167">
        <v>422147.94662064628</v>
      </c>
      <c r="BS167" s="7">
        <f>(BR167-BL167)/BL167</f>
        <v>0.16583249550026591</v>
      </c>
      <c r="BT167" s="14">
        <f>(Sales[[#This Row],[DP1]]*Lookups!$B$51)+(Sales[[#This Row],[DP2]]*Lookups!$B$52)+(Sales[[#This Row],[DP3]]*Lookups!$B$53)</f>
        <v>-31474.238000000001</v>
      </c>
      <c r="BU167" s="14">
        <f>Lookups!$B$48*0.5</f>
        <v>87214.824999999997</v>
      </c>
      <c r="BV167" s="14">
        <f>Lookups!$B$48*0.5</f>
        <v>87214.824999999997</v>
      </c>
      <c r="BW167" s="14">
        <f>Lookups!$B$49*Sales[[#This Row],[LnAcres]]</f>
        <v>-41564.524891726433</v>
      </c>
      <c r="BX167" s="14">
        <f>VLOOKUP(Sales[[#This Row],[Qlty]],Lookups!$A$54:$E$67,2,FALSE)</f>
        <v>-14329.694740000001</v>
      </c>
      <c r="BY167" s="14">
        <f>VLOOKUP(Sales[[#This Row],[Cnd]],Lookups!$A$68:$E$76,2,FALSE)</f>
        <v>47273.897095</v>
      </c>
      <c r="BZ167" s="14">
        <f>Sales[[#This Row],[Age]]*Lookups!$B$77</f>
        <v>11808.79552</v>
      </c>
      <c r="CA167" s="14">
        <f>Sales[[#This Row],[MainFn]]*Lookups!$B$78</f>
        <v>119790.71790600001</v>
      </c>
      <c r="CB167" s="14">
        <f>Sales[[#This Row],[UpprFn]]*Lookups!$B$79</f>
        <v>0</v>
      </c>
      <c r="CC167" s="14">
        <f>Sales[[#This Row],[AddFn]]*Lookups!$B$80</f>
        <v>0</v>
      </c>
      <c r="CD167" s="14">
        <f>Sales[[#This Row],[Bsmt]]*Lookups!$B$81</f>
        <v>28379.788735999999</v>
      </c>
      <c r="CE167" s="14">
        <f>Sales[[#This Row],[Fixtures]]*Lookups!$B$84</f>
        <v>71085.7</v>
      </c>
      <c r="CF167" s="14">
        <f>Sales[[#This Row],[MsnryFP]]*Lookups!$B$82</f>
        <v>25273.623</v>
      </c>
      <c r="CG167" s="14">
        <f>Sales[[#This Row],[PrefabFP]]*Lookups!$B$83</f>
        <v>0</v>
      </c>
      <c r="CH167" s="14">
        <f>Sales[[#This Row],[GarageArea]]*Lookups!$B$85</f>
        <v>0</v>
      </c>
      <c r="CI167" s="14">
        <f>SUM(Sales[[#This Row],[Days Prior Total]:[Mdl GarageArea]])</f>
        <v>390673.7146252736</v>
      </c>
      <c r="CJ167" s="14">
        <f>ROUND(Sales[[#This Row],[25Det]],-2)</f>
        <v>0</v>
      </c>
      <c r="CK167" s="14">
        <f>ROUND(SUM(Sales[[#This Row],[Mdl Qlty]:[Mdl GarageArea]])+Sales[[#This Row],[Mdl Res Intercept]]+Sales[[#This Row],[Days Prior Total]],-2)</f>
        <v>345000</v>
      </c>
      <c r="CL167" s="14">
        <f>ROUND(Sales[[#This Row],[Mdl Land Intercept]]+Sales[[#This Row],[Mdl LnAcres]],-2)</f>
        <v>45700</v>
      </c>
      <c r="CM167" s="14">
        <f>Sales[[#This Row],[Unadj Res Value]]+Sales[[#This Row],[Unadj Det Value]]+Sales[[#This Row],[Unadj Land Value]]</f>
        <v>390700</v>
      </c>
      <c r="CN167" s="15">
        <f>Sales[[#This Row],[Unadj Total Value]]/Sales[[#This Row],[Price]]</f>
        <v>1.3023333333333333</v>
      </c>
      <c r="CO167" s="15">
        <f>(Sales[[#This Row],[Unadj Total Value]]-Sales[[#This Row],[24Final]])/Sales[[#This Row],[24Final]]</f>
        <v>7.898370615851974E-2</v>
      </c>
      <c r="CP167">
        <f>VLOOKUP(Sales[[#This Row],[TNbhd]],Lookups!$M$2:$P$4,4,FALSE)</f>
        <v>0.97570000000000001</v>
      </c>
      <c r="CQ167">
        <f>VLOOKUP(Sales[[#This Row],[Qlty]],Lookups!$M$6:$P$20,4,FALSE)</f>
        <v>0.98809999999999998</v>
      </c>
      <c r="CR167">
        <f>VLOOKUP(Sales[[#This Row],[Cnd]],Lookups!$R$6:$U$15,4,FALSE)</f>
        <v>0.97829999999999995</v>
      </c>
      <c r="CS167">
        <f>VLOOKUP(Sales[[#This Row],[LivArea Range]],Lookups!$R$23:$U$39,4,FALSE)</f>
        <v>0.99099999999999999</v>
      </c>
      <c r="CT167">
        <f>VLOOKUP(Sales[[#This Row],[Decade]],Lookups!$M$23:$P$35,4,FALSE)</f>
        <v>0.95089999999999997</v>
      </c>
      <c r="CU167">
        <f>Sales[[#This Row],[Nbhd Adj]]*0.95</f>
        <v>0.92691499999999993</v>
      </c>
      <c r="CV167">
        <f>Sales[[#This Row],[Nbhd Adj]]*Sales[[#This Row],[Quality Adj]]*Sales[[#This Row],[Condition Adj]]*Sales[[#This Row],[Living Area Adj]]*Sales[[#This Row],[Decade Adj]]*0.95</f>
        <v>0.84434777831487751</v>
      </c>
      <c r="CW167">
        <f>ROUND(SUM(Sales[[#This Row],[Mdl Qlty]:[Mdl GarageArea]])+Sales[[#This Row],[Mdl Res Intercept]]*Sales[[#This Row],[Res Adj ]],-2)</f>
        <v>362900</v>
      </c>
      <c r="CX167">
        <f>ROUND(Sales[[#This Row],[25Det]]*Sales[[#This Row],[Det/Nbhd Adj]],-2)</f>
        <v>0</v>
      </c>
      <c r="CY167">
        <f>Sales[[#This Row],[Adjusted Res]]+Sales[[#This Row],[Adj Det ]]</f>
        <v>362900</v>
      </c>
      <c r="CZ167">
        <f>ROUND((Sales[[#This Row],[Mdl Land Intercept]]+Sales[[#This Row],[Mdl LnAcres]])*Sales[[#This Row],[Det/Nbhd Adj]],-2)</f>
        <v>42300</v>
      </c>
      <c r="DA167">
        <f>Sales[[#This Row],[Adjusted Impr Total]]+Sales[[#This Row],[Adjusted Land Total]]</f>
        <v>405200</v>
      </c>
      <c r="DB167">
        <f>IFERROR((Sales[[#This Row],[Adjusted Impr Total]]-Sales[[#This Row],[24Bldg]])/Sales[[#This Row],[24Bldg]],0)</f>
        <v>0.22642784724569112</v>
      </c>
      <c r="DC167">
        <f>(Sales[[#This Row],[Adjusted Land Total]]-Sales[[#This Row],[24Lnd]])/Sales[[#This Row],[24Lnd]]</f>
        <v>-0.36102719033232628</v>
      </c>
      <c r="DD167">
        <f>(Sales[[#This Row],[Adjusted Total]]-Sales[[#This Row],[24Final]])/Sales[[#This Row],[24Final]]</f>
        <v>0.11902789284727976</v>
      </c>
      <c r="DE167">
        <f>(Sales[[#This Row],[Adjusted Total]]+Sales[[#This Row],[Days Prior Total]])/Sales[[#This Row],[Price]]</f>
        <v>1.24575254</v>
      </c>
    </row>
    <row r="168" spans="1:109" x14ac:dyDescent="0.3">
      <c r="A168">
        <v>2025</v>
      </c>
      <c r="B168">
        <v>18131534010</v>
      </c>
      <c r="C168">
        <v>-0.43078291609245423</v>
      </c>
      <c r="D168">
        <v>0.65</v>
      </c>
      <c r="E168">
        <v>28477</v>
      </c>
      <c r="F168">
        <v>5</v>
      </c>
      <c r="G168" t="s">
        <v>89</v>
      </c>
      <c r="H168">
        <v>3042</v>
      </c>
      <c r="I168" t="s">
        <v>302</v>
      </c>
      <c r="J168" t="s">
        <v>109</v>
      </c>
      <c r="K168">
        <v>11</v>
      </c>
      <c r="L168">
        <v>259</v>
      </c>
      <c r="M168" t="s">
        <v>172</v>
      </c>
      <c r="N168" t="s">
        <v>111</v>
      </c>
      <c r="O168" t="s">
        <v>207</v>
      </c>
      <c r="P168">
        <v>1960</v>
      </c>
      <c r="Q168">
        <v>1975</v>
      </c>
      <c r="R168">
        <v>70</v>
      </c>
      <c r="S168">
        <v>64</v>
      </c>
      <c r="T168">
        <v>49</v>
      </c>
      <c r="U168">
        <v>1</v>
      </c>
      <c r="V168">
        <v>1617</v>
      </c>
      <c r="W168">
        <v>0</v>
      </c>
      <c r="X168">
        <v>0</v>
      </c>
      <c r="Y168">
        <v>1617</v>
      </c>
      <c r="Z168">
        <v>1617</v>
      </c>
      <c r="AA168">
        <v>0</v>
      </c>
      <c r="AB168">
        <v>3234</v>
      </c>
      <c r="AC168">
        <v>3500</v>
      </c>
      <c r="AD168">
        <v>2</v>
      </c>
      <c r="AE168" t="s">
        <v>5</v>
      </c>
      <c r="AF168" t="s">
        <v>275</v>
      </c>
      <c r="AG168" t="s">
        <v>111</v>
      </c>
      <c r="AH168" t="s">
        <v>314</v>
      </c>
      <c r="AI168">
        <v>0</v>
      </c>
      <c r="AJ168">
        <v>2</v>
      </c>
      <c r="AK168">
        <v>0</v>
      </c>
      <c r="AL168">
        <v>1</v>
      </c>
      <c r="AM168">
        <v>1</v>
      </c>
      <c r="AN168">
        <v>11</v>
      </c>
      <c r="AO168">
        <v>638</v>
      </c>
      <c r="AP168">
        <v>0</v>
      </c>
      <c r="AQ168">
        <v>638</v>
      </c>
      <c r="AR168">
        <v>0</v>
      </c>
      <c r="AS168">
        <v>0</v>
      </c>
      <c r="AT168">
        <v>1217</v>
      </c>
      <c r="AU168">
        <v>584</v>
      </c>
      <c r="AV168">
        <v>100</v>
      </c>
      <c r="AW168">
        <v>100</v>
      </c>
      <c r="AX168">
        <v>524027</v>
      </c>
      <c r="AY168">
        <v>413981</v>
      </c>
      <c r="AZ168">
        <v>923</v>
      </c>
      <c r="BA168">
        <v>365</v>
      </c>
      <c r="BB168">
        <v>365</v>
      </c>
      <c r="BC168">
        <v>193</v>
      </c>
      <c r="BD168" s="6">
        <v>44369</v>
      </c>
      <c r="BE168" t="s">
        <v>31</v>
      </c>
      <c r="BF168">
        <v>407000</v>
      </c>
      <c r="BG168">
        <v>407000</v>
      </c>
      <c r="BH168" t="s">
        <v>198</v>
      </c>
      <c r="BI168">
        <v>30</v>
      </c>
      <c r="BJ168" t="s">
        <v>51</v>
      </c>
      <c r="BK168" t="s">
        <v>314</v>
      </c>
      <c r="BL168">
        <v>484600</v>
      </c>
      <c r="BM168">
        <v>136100</v>
      </c>
      <c r="BN168">
        <v>348500</v>
      </c>
      <c r="BO168">
        <v>0</v>
      </c>
      <c r="BP168">
        <v>1.1906633906633906</v>
      </c>
      <c r="BQ168">
        <v>478396.98796336376</v>
      </c>
      <c r="BR168">
        <v>560955.45243602886</v>
      </c>
      <c r="BS168" s="7">
        <f>(BR168-BL168)/BL168</f>
        <v>0.15756387213377809</v>
      </c>
      <c r="BT168" s="14">
        <f>(Sales[[#This Row],[DP1]]*Lookups!$B$51)+(Sales[[#This Row],[DP2]]*Lookups!$B$52)+(Sales[[#This Row],[DP3]]*Lookups!$B$53)</f>
        <v>-82558.468710000016</v>
      </c>
      <c r="BU168" s="14">
        <f>Lookups!$B$48*0.5</f>
        <v>87214.824999999997</v>
      </c>
      <c r="BV168" s="14">
        <f>Lookups!$B$48*0.5</f>
        <v>87214.824999999997</v>
      </c>
      <c r="BW168" s="14">
        <f>Lookups!$B$49*Sales[[#This Row],[LnAcres]]</f>
        <v>-10781.568483392866</v>
      </c>
      <c r="BX168" s="14">
        <f>VLOOKUP(Sales[[#This Row],[Qlty]],Lookups!$A$54:$E$67,2,FALSE)</f>
        <v>-14329.694740000001</v>
      </c>
      <c r="BY168" s="14">
        <f>VLOOKUP(Sales[[#This Row],[Cnd]],Lookups!$A$68:$E$76,2,FALSE)</f>
        <v>47273.897095</v>
      </c>
      <c r="BZ168" s="14">
        <f>Sales[[#This Row],[Age]]*Lookups!$B$77</f>
        <v>11808.79552</v>
      </c>
      <c r="CA168" s="14">
        <f>Sales[[#This Row],[MainFn]]*Lookups!$B$78</f>
        <v>111707.95320300001</v>
      </c>
      <c r="CB168" s="14">
        <f>Sales[[#This Row],[UpprFn]]*Lookups!$B$79</f>
        <v>0</v>
      </c>
      <c r="CC168" s="14">
        <f>Sales[[#This Row],[AddFn]]*Lookups!$B$80</f>
        <v>0</v>
      </c>
      <c r="CD168" s="14">
        <f>Sales[[#This Row],[Bsmt]]*Lookups!$B$81</f>
        <v>46260.199986</v>
      </c>
      <c r="CE168" s="14">
        <f>Sales[[#This Row],[Fixtures]]*Lookups!$B$84</f>
        <v>111706.1</v>
      </c>
      <c r="CF168" s="14">
        <f>Sales[[#This Row],[MsnryFP]]*Lookups!$B$82</f>
        <v>50547.245999999999</v>
      </c>
      <c r="CG168" s="14">
        <f>Sales[[#This Row],[PrefabFP]]*Lookups!$B$83</f>
        <v>0</v>
      </c>
      <c r="CH168" s="14">
        <f>Sales[[#This Row],[GarageArea]]*Lookups!$B$85</f>
        <v>32332.881086000001</v>
      </c>
      <c r="CI168" s="14">
        <f>SUM(Sales[[#This Row],[Days Prior Total]:[Mdl GarageArea]])</f>
        <v>478396.9909566071</v>
      </c>
      <c r="CJ168" s="14">
        <f>ROUND(Sales[[#This Row],[25Det]],-2)</f>
        <v>0</v>
      </c>
      <c r="CK168" s="14">
        <f>ROUND(SUM(Sales[[#This Row],[Mdl Qlty]:[Mdl GarageArea]])+Sales[[#This Row],[Mdl Res Intercept]]+Sales[[#This Row],[Days Prior Total]],-2)</f>
        <v>402000</v>
      </c>
      <c r="CL168" s="14">
        <f>ROUND(Sales[[#This Row],[Mdl Land Intercept]]+Sales[[#This Row],[Mdl LnAcres]],-2)</f>
        <v>76400</v>
      </c>
      <c r="CM168" s="14">
        <f>Sales[[#This Row],[Unadj Res Value]]+Sales[[#This Row],[Unadj Det Value]]+Sales[[#This Row],[Unadj Land Value]]</f>
        <v>478400</v>
      </c>
      <c r="CN168" s="15">
        <f>Sales[[#This Row],[Unadj Total Value]]/Sales[[#This Row],[Price]]</f>
        <v>1.1754299754299755</v>
      </c>
      <c r="CO168" s="15">
        <f>(Sales[[#This Row],[Unadj Total Value]]-Sales[[#This Row],[24Final]])/Sales[[#This Row],[24Final]]</f>
        <v>-1.2794056954189021E-2</v>
      </c>
      <c r="CP168">
        <f>VLOOKUP(Sales[[#This Row],[TNbhd]],Lookups!$M$2:$P$4,4,FALSE)</f>
        <v>0.97570000000000001</v>
      </c>
      <c r="CQ168">
        <f>VLOOKUP(Sales[[#This Row],[Qlty]],Lookups!$M$6:$P$20,4,FALSE)</f>
        <v>0.98809999999999998</v>
      </c>
      <c r="CR168">
        <f>VLOOKUP(Sales[[#This Row],[Cnd]],Lookups!$R$6:$U$15,4,FALSE)</f>
        <v>0.97829999999999995</v>
      </c>
      <c r="CS168">
        <f>VLOOKUP(Sales[[#This Row],[LivArea Range]],Lookups!$R$23:$U$39,4,FALSE)</f>
        <v>0.99619999999999997</v>
      </c>
      <c r="CT168">
        <f>VLOOKUP(Sales[[#This Row],[Decade]],Lookups!$M$23:$P$35,4,FALSE)</f>
        <v>0.95089999999999997</v>
      </c>
      <c r="CU168">
        <f>Sales[[#This Row],[Nbhd Adj]]*0.95</f>
        <v>0.92691499999999993</v>
      </c>
      <c r="CV168">
        <f>Sales[[#This Row],[Nbhd Adj]]*Sales[[#This Row],[Quality Adj]]*Sales[[#This Row],[Condition Adj]]*Sales[[#This Row],[Living Area Adj]]*Sales[[#This Row],[Decade Adj]]*0.95</f>
        <v>0.84877826110724619</v>
      </c>
      <c r="CW168">
        <f>ROUND(SUM(Sales[[#This Row],[Mdl Qlty]:[Mdl GarageArea]])+Sales[[#This Row],[Mdl Res Intercept]]*Sales[[#This Row],[Res Adj ]],-2)</f>
        <v>471300</v>
      </c>
      <c r="CX168">
        <f>ROUND(Sales[[#This Row],[25Det]]*Sales[[#This Row],[Det/Nbhd Adj]],-2)</f>
        <v>0</v>
      </c>
      <c r="CY168">
        <f>Sales[[#This Row],[Adjusted Res]]+Sales[[#This Row],[Adj Det ]]</f>
        <v>471300</v>
      </c>
      <c r="CZ168">
        <f>ROUND((Sales[[#This Row],[Mdl Land Intercept]]+Sales[[#This Row],[Mdl LnAcres]])*Sales[[#This Row],[Det/Nbhd Adj]],-2)</f>
        <v>70800</v>
      </c>
      <c r="DA168">
        <f>Sales[[#This Row],[Adjusted Impr Total]]+Sales[[#This Row],[Adjusted Land Total]]</f>
        <v>542100</v>
      </c>
      <c r="DB168">
        <f>IFERROR((Sales[[#This Row],[Adjusted Impr Total]]-Sales[[#This Row],[24Bldg]])/Sales[[#This Row],[24Bldg]],0)</f>
        <v>0.35236728837876613</v>
      </c>
      <c r="DC168">
        <f>(Sales[[#This Row],[Adjusted Land Total]]-Sales[[#This Row],[24Lnd]])/Sales[[#This Row],[24Lnd]]</f>
        <v>-0.47979426891991184</v>
      </c>
      <c r="DD168">
        <f>(Sales[[#This Row],[Adjusted Total]]-Sales[[#This Row],[24Final]])/Sales[[#This Row],[24Final]]</f>
        <v>0.11865456046223689</v>
      </c>
      <c r="DE168">
        <f>(Sales[[#This Row],[Adjusted Total]]+Sales[[#This Row],[Days Prior Total]])/Sales[[#This Row],[Price]]</f>
        <v>1.1290946714742014</v>
      </c>
    </row>
    <row r="169" spans="1:109" x14ac:dyDescent="0.3">
      <c r="A169">
        <v>2025</v>
      </c>
      <c r="B169">
        <v>18131744402</v>
      </c>
      <c r="C169">
        <v>0.72754860727727766</v>
      </c>
      <c r="D169">
        <v>2.0699999999999998</v>
      </c>
      <c r="E169">
        <v>0</v>
      </c>
      <c r="F169">
        <v>1</v>
      </c>
      <c r="G169" t="s">
        <v>89</v>
      </c>
      <c r="H169" t="s">
        <v>203</v>
      </c>
      <c r="I169" t="s">
        <v>302</v>
      </c>
      <c r="J169" t="s">
        <v>110</v>
      </c>
      <c r="K169">
        <v>83</v>
      </c>
      <c r="M169" t="s">
        <v>172</v>
      </c>
      <c r="N169" t="s">
        <v>50</v>
      </c>
      <c r="O169" t="s">
        <v>207</v>
      </c>
      <c r="P169">
        <v>1960</v>
      </c>
      <c r="Q169">
        <v>1995</v>
      </c>
      <c r="R169">
        <v>70</v>
      </c>
      <c r="S169">
        <v>64</v>
      </c>
      <c r="T169">
        <v>29</v>
      </c>
      <c r="U169">
        <v>1</v>
      </c>
      <c r="V169">
        <v>3422</v>
      </c>
      <c r="W169">
        <v>0</v>
      </c>
      <c r="X169">
        <v>0</v>
      </c>
      <c r="Y169">
        <v>400</v>
      </c>
      <c r="Z169">
        <v>0</v>
      </c>
      <c r="AA169">
        <v>400</v>
      </c>
      <c r="AB169">
        <v>3422</v>
      </c>
      <c r="AC169">
        <v>3500</v>
      </c>
      <c r="AD169">
        <v>2</v>
      </c>
      <c r="AF169" t="s">
        <v>153</v>
      </c>
      <c r="AG169" t="s">
        <v>274</v>
      </c>
      <c r="AI169">
        <v>0</v>
      </c>
      <c r="AJ169">
        <v>2</v>
      </c>
      <c r="AK169">
        <v>0</v>
      </c>
      <c r="AL169">
        <v>0</v>
      </c>
      <c r="AM169">
        <v>1</v>
      </c>
      <c r="AN169">
        <v>11</v>
      </c>
      <c r="AO169">
        <v>1164</v>
      </c>
      <c r="AP169">
        <v>0</v>
      </c>
      <c r="AQ169">
        <v>1164</v>
      </c>
      <c r="AR169">
        <v>0</v>
      </c>
      <c r="AS169">
        <v>0</v>
      </c>
      <c r="AT169">
        <v>0</v>
      </c>
      <c r="AU169">
        <v>0</v>
      </c>
      <c r="AV169">
        <v>100</v>
      </c>
      <c r="AW169">
        <v>100</v>
      </c>
      <c r="AX169">
        <v>832360</v>
      </c>
      <c r="AY169">
        <v>774095</v>
      </c>
      <c r="AZ169">
        <v>606</v>
      </c>
      <c r="BA169">
        <v>365</v>
      </c>
      <c r="BB169">
        <v>241</v>
      </c>
      <c r="BC169">
        <v>0</v>
      </c>
      <c r="BD169" s="6">
        <v>44686</v>
      </c>
      <c r="BE169" t="s">
        <v>10</v>
      </c>
      <c r="BF169">
        <v>850000</v>
      </c>
      <c r="BG169">
        <v>826985</v>
      </c>
      <c r="BH169" t="s">
        <v>148</v>
      </c>
      <c r="BI169">
        <v>30</v>
      </c>
      <c r="BJ169" t="s">
        <v>51</v>
      </c>
      <c r="BK169" t="s">
        <v>314</v>
      </c>
      <c r="BL169">
        <v>735100</v>
      </c>
      <c r="BM169">
        <v>201900</v>
      </c>
      <c r="BN169">
        <v>533200</v>
      </c>
      <c r="BO169">
        <v>23015</v>
      </c>
      <c r="BP169">
        <v>0.86482352941176466</v>
      </c>
      <c r="BQ169">
        <v>732734.73017661844</v>
      </c>
      <c r="BR169">
        <v>767534.01102522889</v>
      </c>
      <c r="BS169" s="7">
        <f>(BR169-BL169)/BL169</f>
        <v>4.4121903176749945E-2</v>
      </c>
      <c r="BT169" s="14">
        <f>(Sales[[#This Row],[DP1]]*Lookups!$B$51)+(Sales[[#This Row],[DP2]]*Lookups!$B$52)+(Sales[[#This Row],[DP3]]*Lookups!$B$53)</f>
        <v>-34799.294414000004</v>
      </c>
      <c r="BU169" s="14">
        <f>Lookups!$B$48*0.5</f>
        <v>87214.824999999997</v>
      </c>
      <c r="BV169" s="14">
        <f>Lookups!$B$48*0.5</f>
        <v>87214.824999999997</v>
      </c>
      <c r="BW169" s="14">
        <f>Lookups!$B$49*Sales[[#This Row],[LnAcres]]</f>
        <v>18208.974500450186</v>
      </c>
      <c r="BX169" s="14">
        <f>VLOOKUP(Sales[[#This Row],[Qlty]],Lookups!$A$54:$E$67,2,FALSE)</f>
        <v>46722.525125</v>
      </c>
      <c r="BY169" s="14">
        <f>VLOOKUP(Sales[[#This Row],[Cnd]],Lookups!$A$68:$E$76,2,FALSE)</f>
        <v>47273.897095</v>
      </c>
      <c r="BZ169" s="14">
        <f>Sales[[#This Row],[Age]]*Lookups!$B$77</f>
        <v>11808.79552</v>
      </c>
      <c r="CA169" s="14">
        <f>Sales[[#This Row],[MainFn]]*Lookups!$B$78</f>
        <v>236403.59669800001</v>
      </c>
      <c r="CB169" s="14">
        <f>Sales[[#This Row],[UpprFn]]*Lookups!$B$79</f>
        <v>0</v>
      </c>
      <c r="CC169" s="14">
        <f>Sales[[#This Row],[AddFn]]*Lookups!$B$80</f>
        <v>0</v>
      </c>
      <c r="CD169" s="14">
        <f>Sales[[#This Row],[Bsmt]]*Lookups!$B$81</f>
        <v>11443.4632</v>
      </c>
      <c r="CE169" s="14">
        <f>Sales[[#This Row],[Fixtures]]*Lookups!$B$84</f>
        <v>111706.1</v>
      </c>
      <c r="CF169" s="14">
        <f>Sales[[#This Row],[MsnryFP]]*Lookups!$B$82</f>
        <v>50547.245999999999</v>
      </c>
      <c r="CG169" s="14">
        <f>Sales[[#This Row],[PrefabFP]]*Lookups!$B$83</f>
        <v>0</v>
      </c>
      <c r="CH169" s="14">
        <f>Sales[[#This Row],[GarageArea]]*Lookups!$B$85</f>
        <v>58989.770508000001</v>
      </c>
      <c r="CI169" s="14">
        <f>SUM(Sales[[#This Row],[Days Prior Total]:[Mdl GarageArea]])</f>
        <v>732734.72423245024</v>
      </c>
      <c r="CJ169" s="14">
        <f>ROUND(Sales[[#This Row],[25Det]],-2)</f>
        <v>23000</v>
      </c>
      <c r="CK169" s="14">
        <f>ROUND(SUM(Sales[[#This Row],[Mdl Qlty]:[Mdl GarageArea]])+Sales[[#This Row],[Mdl Res Intercept]]+Sales[[#This Row],[Days Prior Total]],-2)</f>
        <v>627300</v>
      </c>
      <c r="CL169" s="14">
        <f>ROUND(Sales[[#This Row],[Mdl Land Intercept]]+Sales[[#This Row],[Mdl LnAcres]],-2)</f>
        <v>105400</v>
      </c>
      <c r="CM169" s="14">
        <f>Sales[[#This Row],[Unadj Res Value]]+Sales[[#This Row],[Unadj Det Value]]+Sales[[#This Row],[Unadj Land Value]]</f>
        <v>755700</v>
      </c>
      <c r="CN169" s="15">
        <f>Sales[[#This Row],[Unadj Total Value]]/Sales[[#This Row],[Price]]</f>
        <v>0.88905882352941179</v>
      </c>
      <c r="CO169" s="15">
        <f>(Sales[[#This Row],[Unadj Total Value]]-Sales[[#This Row],[24Final]])/Sales[[#This Row],[24Final]]</f>
        <v>2.8023398177118759E-2</v>
      </c>
      <c r="CP169">
        <f>VLOOKUP(Sales[[#This Row],[TNbhd]],Lookups!$M$2:$P$4,4,FALSE)</f>
        <v>0.97570000000000001</v>
      </c>
      <c r="CQ169">
        <f>VLOOKUP(Sales[[#This Row],[Qlty]],Lookups!$M$6:$P$20,4,FALSE)</f>
        <v>0.98329999999999995</v>
      </c>
      <c r="CR169">
        <f>VLOOKUP(Sales[[#This Row],[Cnd]],Lookups!$R$6:$U$15,4,FALSE)</f>
        <v>0.97829999999999995</v>
      </c>
      <c r="CS169">
        <f>VLOOKUP(Sales[[#This Row],[LivArea Range]],Lookups!$R$23:$U$39,4,FALSE)</f>
        <v>0.99619999999999997</v>
      </c>
      <c r="CT169">
        <f>VLOOKUP(Sales[[#This Row],[Decade]],Lookups!$M$23:$P$35,4,FALSE)</f>
        <v>0.95089999999999997</v>
      </c>
      <c r="CU169">
        <f>Sales[[#This Row],[Nbhd Adj]]*0.95</f>
        <v>0.92691499999999993</v>
      </c>
      <c r="CV169">
        <f>Sales[[#This Row],[Nbhd Adj]]*Sales[[#This Row],[Quality Adj]]*Sales[[#This Row],[Condition Adj]]*Sales[[#This Row],[Living Area Adj]]*Sales[[#This Row],[Decade Adj]]*0.95</f>
        <v>0.84465505935305651</v>
      </c>
      <c r="CW169">
        <f>ROUND(SUM(Sales[[#This Row],[Mdl Qlty]:[Mdl GarageArea]])+Sales[[#This Row],[Mdl Res Intercept]]*Sales[[#This Row],[Res Adj ]],-2)</f>
        <v>648600</v>
      </c>
      <c r="CX169">
        <f>ROUND(Sales[[#This Row],[25Det]]*Sales[[#This Row],[Det/Nbhd Adj]],-2)</f>
        <v>21300</v>
      </c>
      <c r="CY169">
        <f>Sales[[#This Row],[Adjusted Res]]+Sales[[#This Row],[Adj Det ]]</f>
        <v>669900</v>
      </c>
      <c r="CZ169">
        <f>ROUND((Sales[[#This Row],[Mdl Land Intercept]]+Sales[[#This Row],[Mdl LnAcres]])*Sales[[#This Row],[Det/Nbhd Adj]],-2)</f>
        <v>97700</v>
      </c>
      <c r="DA169">
        <f>Sales[[#This Row],[Adjusted Impr Total]]+Sales[[#This Row],[Adjusted Land Total]]</f>
        <v>767600</v>
      </c>
      <c r="DB169">
        <f>IFERROR((Sales[[#This Row],[Adjusted Impr Total]]-Sales[[#This Row],[24Bldg]])/Sales[[#This Row],[24Bldg]],0)</f>
        <v>0.25637659414853714</v>
      </c>
      <c r="DC169">
        <f>(Sales[[#This Row],[Adjusted Land Total]]-Sales[[#This Row],[24Lnd]])/Sales[[#This Row],[24Lnd]]</f>
        <v>-0.51609707776126801</v>
      </c>
      <c r="DD169">
        <f>(Sales[[#This Row],[Adjusted Total]]-Sales[[#This Row],[24Final]])/Sales[[#This Row],[24Final]]</f>
        <v>4.4211671881376681E-2</v>
      </c>
      <c r="DE169">
        <f>(Sales[[#This Row],[Adjusted Total]]+Sales[[#This Row],[Days Prior Total]])/Sales[[#This Row],[Price]]</f>
        <v>0.86211847716000001</v>
      </c>
    </row>
    <row r="170" spans="1:109" x14ac:dyDescent="0.3">
      <c r="A170">
        <v>2025</v>
      </c>
      <c r="B170">
        <v>18131644470</v>
      </c>
      <c r="C170">
        <v>-1.6607312068216509</v>
      </c>
      <c r="D170">
        <v>0.19</v>
      </c>
      <c r="E170">
        <v>8400</v>
      </c>
      <c r="F170">
        <v>5</v>
      </c>
      <c r="G170" t="s">
        <v>89</v>
      </c>
      <c r="H170" t="s">
        <v>302</v>
      </c>
      <c r="I170" t="s">
        <v>302</v>
      </c>
      <c r="J170" t="s">
        <v>26</v>
      </c>
      <c r="K170">
        <v>11</v>
      </c>
      <c r="L170">
        <v>259</v>
      </c>
      <c r="M170" t="s">
        <v>172</v>
      </c>
      <c r="N170" t="s">
        <v>257</v>
      </c>
      <c r="O170" t="s">
        <v>231</v>
      </c>
      <c r="P170">
        <v>1957</v>
      </c>
      <c r="Q170">
        <v>1974</v>
      </c>
      <c r="R170">
        <v>70</v>
      </c>
      <c r="S170">
        <v>67</v>
      </c>
      <c r="T170">
        <v>50</v>
      </c>
      <c r="U170">
        <v>1</v>
      </c>
      <c r="V170">
        <v>1292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1292</v>
      </c>
      <c r="AC170">
        <v>1500</v>
      </c>
      <c r="AD170">
        <v>0</v>
      </c>
      <c r="AF170" t="s">
        <v>275</v>
      </c>
      <c r="AG170" t="s">
        <v>111</v>
      </c>
      <c r="AH170" t="s">
        <v>314</v>
      </c>
      <c r="AI170">
        <v>1</v>
      </c>
      <c r="AJ170">
        <v>0</v>
      </c>
      <c r="AK170">
        <v>0</v>
      </c>
      <c r="AL170">
        <v>0</v>
      </c>
      <c r="AM170">
        <v>0</v>
      </c>
      <c r="AN170">
        <v>8</v>
      </c>
      <c r="AO170">
        <v>0</v>
      </c>
      <c r="AP170">
        <v>0</v>
      </c>
      <c r="AQ170">
        <v>0</v>
      </c>
      <c r="AR170">
        <v>646</v>
      </c>
      <c r="AS170">
        <v>140</v>
      </c>
      <c r="AT170">
        <v>152</v>
      </c>
      <c r="AU170">
        <v>152</v>
      </c>
      <c r="AV170">
        <v>100</v>
      </c>
      <c r="AW170">
        <v>100</v>
      </c>
      <c r="AX170">
        <v>209202</v>
      </c>
      <c r="AY170">
        <v>148533</v>
      </c>
      <c r="AZ170">
        <v>55</v>
      </c>
      <c r="BA170">
        <v>55</v>
      </c>
      <c r="BB170">
        <v>0</v>
      </c>
      <c r="BC170">
        <v>0</v>
      </c>
      <c r="BD170" s="6">
        <v>45237</v>
      </c>
      <c r="BE170" t="s">
        <v>134</v>
      </c>
      <c r="BF170">
        <v>345000</v>
      </c>
      <c r="BG170">
        <v>345000</v>
      </c>
      <c r="BH170" t="s">
        <v>198</v>
      </c>
      <c r="BI170">
        <v>30</v>
      </c>
      <c r="BJ170" t="s">
        <v>51</v>
      </c>
      <c r="BK170" t="s">
        <v>314</v>
      </c>
      <c r="BL170">
        <v>302500</v>
      </c>
      <c r="BM170">
        <v>66200</v>
      </c>
      <c r="BN170">
        <v>236300</v>
      </c>
      <c r="BO170">
        <v>0</v>
      </c>
      <c r="BP170">
        <v>0.87681159420289856</v>
      </c>
      <c r="BQ170">
        <v>307025.17211844685</v>
      </c>
      <c r="BR170">
        <v>315724.08006817341</v>
      </c>
      <c r="BS170" s="7">
        <f>(BR170-BL170)/BL170</f>
        <v>4.3715967167515406E-2</v>
      </c>
      <c r="BT170" s="14">
        <f>(Sales[[#This Row],[DP1]]*Lookups!$B$51)+(Sales[[#This Row],[DP2]]*Lookups!$B$52)+(Sales[[#This Row],[DP3]]*Lookups!$B$53)</f>
        <v>-8698.91</v>
      </c>
      <c r="BU170" s="14">
        <f>Lookups!$B$48*0.5</f>
        <v>87214.824999999997</v>
      </c>
      <c r="BV170" s="14">
        <f>Lookups!$B$48*0.5</f>
        <v>87214.824999999997</v>
      </c>
      <c r="BW170" s="14">
        <f>Lookups!$B$49*Sales[[#This Row],[LnAcres]]</f>
        <v>-41564.524891726433</v>
      </c>
      <c r="BX170" s="14">
        <f>VLOOKUP(Sales[[#This Row],[Qlty]],Lookups!$A$54:$E$67,2,FALSE)</f>
        <v>0</v>
      </c>
      <c r="BY170" s="14">
        <f>VLOOKUP(Sales[[#This Row],[Cnd]],Lookups!$A$68:$E$76,2,FALSE)</f>
        <v>0</v>
      </c>
      <c r="BZ170" s="14">
        <f>Sales[[#This Row],[Age]]*Lookups!$B$77</f>
        <v>12362.33281</v>
      </c>
      <c r="CA170" s="14">
        <f>Sales[[#This Row],[MainFn]]*Lookups!$B$78</f>
        <v>89255.829028000007</v>
      </c>
      <c r="CB170" s="14">
        <f>Sales[[#This Row],[UpprFn]]*Lookups!$B$79</f>
        <v>0</v>
      </c>
      <c r="CC170" s="14">
        <f>Sales[[#This Row],[AddFn]]*Lookups!$B$80</f>
        <v>0</v>
      </c>
      <c r="CD170" s="14">
        <f>Sales[[#This Row],[Bsmt]]*Lookups!$B$81</f>
        <v>0</v>
      </c>
      <c r="CE170" s="14">
        <f>Sales[[#This Row],[Fixtures]]*Lookups!$B$84</f>
        <v>81240.800000000003</v>
      </c>
      <c r="CF170" s="14">
        <f>Sales[[#This Row],[MsnryFP]]*Lookups!$B$82</f>
        <v>0</v>
      </c>
      <c r="CG170" s="14">
        <f>Sales[[#This Row],[PrefabFP]]*Lookups!$B$83</f>
        <v>0</v>
      </c>
      <c r="CH170" s="14">
        <f>Sales[[#This Row],[GarageArea]]*Lookups!$B$85</f>
        <v>0</v>
      </c>
      <c r="CI170" s="14">
        <f>SUM(Sales[[#This Row],[Days Prior Total]:[Mdl GarageArea]])</f>
        <v>307025.17694627354</v>
      </c>
      <c r="CJ170" s="14">
        <f>ROUND(Sales[[#This Row],[25Det]],-2)</f>
        <v>0</v>
      </c>
      <c r="CK170" s="14">
        <f>ROUND(SUM(Sales[[#This Row],[Mdl Qlty]:[Mdl GarageArea]])+Sales[[#This Row],[Mdl Res Intercept]]+Sales[[#This Row],[Days Prior Total]],-2)</f>
        <v>261400</v>
      </c>
      <c r="CL170" s="14">
        <f>ROUND(Sales[[#This Row],[Mdl Land Intercept]]+Sales[[#This Row],[Mdl LnAcres]],-2)</f>
        <v>45700</v>
      </c>
      <c r="CM170" s="14">
        <f>Sales[[#This Row],[Unadj Res Value]]+Sales[[#This Row],[Unadj Det Value]]+Sales[[#This Row],[Unadj Land Value]]</f>
        <v>307100</v>
      </c>
      <c r="CN170" s="15">
        <f>Sales[[#This Row],[Unadj Total Value]]/Sales[[#This Row],[Price]]</f>
        <v>0.89014492753623187</v>
      </c>
      <c r="CO170" s="15">
        <f>(Sales[[#This Row],[Unadj Total Value]]-Sales[[#This Row],[24Final]])/Sales[[#This Row],[24Final]]</f>
        <v>1.5206611570247934E-2</v>
      </c>
      <c r="CP170">
        <f>VLOOKUP(Sales[[#This Row],[TNbhd]],Lookups!$M$2:$P$4,4,FALSE)</f>
        <v>0.97570000000000001</v>
      </c>
      <c r="CQ170">
        <f>VLOOKUP(Sales[[#This Row],[Qlty]],Lookups!$M$6:$P$20,4,FALSE)</f>
        <v>1.0046999999999999</v>
      </c>
      <c r="CR170">
        <f>VLOOKUP(Sales[[#This Row],[Cnd]],Lookups!$R$6:$U$15,4,FALSE)</f>
        <v>0.9677</v>
      </c>
      <c r="CS170">
        <f>VLOOKUP(Sales[[#This Row],[LivArea Range]],Lookups!$R$23:$U$39,4,FALSE)</f>
        <v>1.0062</v>
      </c>
      <c r="CT170">
        <f>VLOOKUP(Sales[[#This Row],[Decade]],Lookups!$M$23:$P$35,4,FALSE)</f>
        <v>0.95089999999999997</v>
      </c>
      <c r="CU170">
        <f>Sales[[#This Row],[Nbhd Adj]]*0.95</f>
        <v>0.92691499999999993</v>
      </c>
      <c r="CV170">
        <f>Sales[[#This Row],[Nbhd Adj]]*Sales[[#This Row],[Quality Adj]]*Sales[[#This Row],[Condition Adj]]*Sales[[#This Row],[Living Area Adj]]*Sales[[#This Row],[Decade Adj]]*0.95</f>
        <v>0.86225597794706244</v>
      </c>
      <c r="CW170">
        <f>ROUND(SUM(Sales[[#This Row],[Mdl Qlty]:[Mdl GarageArea]])+Sales[[#This Row],[Mdl Res Intercept]]*Sales[[#This Row],[Res Adj ]],-2)</f>
        <v>258100</v>
      </c>
      <c r="CX170">
        <f>ROUND(Sales[[#This Row],[25Det]]*Sales[[#This Row],[Det/Nbhd Adj]],-2)</f>
        <v>0</v>
      </c>
      <c r="CY170">
        <f>Sales[[#This Row],[Adjusted Res]]+Sales[[#This Row],[Adj Det ]]</f>
        <v>258100</v>
      </c>
      <c r="CZ170">
        <f>ROUND((Sales[[#This Row],[Mdl Land Intercept]]+Sales[[#This Row],[Mdl LnAcres]])*Sales[[#This Row],[Det/Nbhd Adj]],-2)</f>
        <v>42300</v>
      </c>
      <c r="DA170">
        <f>Sales[[#This Row],[Adjusted Impr Total]]+Sales[[#This Row],[Adjusted Land Total]]</f>
        <v>300400</v>
      </c>
      <c r="DB170">
        <f>IFERROR((Sales[[#This Row],[Adjusted Impr Total]]-Sales[[#This Row],[24Bldg]])/Sales[[#This Row],[24Bldg]],0)</f>
        <v>9.2255607278882781E-2</v>
      </c>
      <c r="DC170">
        <f>(Sales[[#This Row],[Adjusted Land Total]]-Sales[[#This Row],[24Lnd]])/Sales[[#This Row],[24Lnd]]</f>
        <v>-0.36102719033232628</v>
      </c>
      <c r="DD170">
        <f>(Sales[[#This Row],[Adjusted Total]]-Sales[[#This Row],[24Final]])/Sales[[#This Row],[24Final]]</f>
        <v>-6.9421487603305784E-3</v>
      </c>
      <c r="DE170">
        <f>(Sales[[#This Row],[Adjusted Total]]+Sales[[#This Row],[Days Prior Total]])/Sales[[#This Row],[Price]]</f>
        <v>0.84551040579710157</v>
      </c>
    </row>
    <row r="171" spans="1:109" x14ac:dyDescent="0.3">
      <c r="A171">
        <v>2025</v>
      </c>
      <c r="B171">
        <v>18131634408</v>
      </c>
      <c r="C171">
        <v>-0.79850769621777162</v>
      </c>
      <c r="D171">
        <v>0.45</v>
      </c>
      <c r="E171">
        <v>19603</v>
      </c>
      <c r="F171">
        <v>5</v>
      </c>
      <c r="G171" t="s">
        <v>89</v>
      </c>
      <c r="H171">
        <v>3041</v>
      </c>
      <c r="I171" t="s">
        <v>302</v>
      </c>
      <c r="J171" t="s">
        <v>26</v>
      </c>
      <c r="K171">
        <v>11</v>
      </c>
      <c r="L171">
        <v>259</v>
      </c>
      <c r="M171" t="s">
        <v>172</v>
      </c>
      <c r="N171" t="s">
        <v>50</v>
      </c>
      <c r="O171" t="s">
        <v>258</v>
      </c>
      <c r="P171">
        <v>1957</v>
      </c>
      <c r="Q171">
        <v>1974</v>
      </c>
      <c r="R171">
        <v>70</v>
      </c>
      <c r="S171">
        <v>67</v>
      </c>
      <c r="T171">
        <v>50</v>
      </c>
      <c r="U171">
        <v>1</v>
      </c>
      <c r="V171">
        <v>2321</v>
      </c>
      <c r="W171">
        <v>0</v>
      </c>
      <c r="X171">
        <v>0</v>
      </c>
      <c r="Y171">
        <v>2086</v>
      </c>
      <c r="Z171">
        <v>2086</v>
      </c>
      <c r="AA171">
        <v>0</v>
      </c>
      <c r="AB171">
        <v>4407</v>
      </c>
      <c r="AC171">
        <v>4500</v>
      </c>
      <c r="AD171">
        <v>0</v>
      </c>
      <c r="AE171" t="s">
        <v>5</v>
      </c>
      <c r="AF171" t="s">
        <v>275</v>
      </c>
      <c r="AG171" t="s">
        <v>111</v>
      </c>
      <c r="AH171" t="s">
        <v>314</v>
      </c>
      <c r="AI171">
        <v>0</v>
      </c>
      <c r="AJ171">
        <v>2</v>
      </c>
      <c r="AK171">
        <v>0</v>
      </c>
      <c r="AL171">
        <v>1</v>
      </c>
      <c r="AM171">
        <v>1</v>
      </c>
      <c r="AN171">
        <v>14</v>
      </c>
      <c r="AO171">
        <v>0</v>
      </c>
      <c r="AP171">
        <v>0</v>
      </c>
      <c r="AQ171">
        <v>0</v>
      </c>
      <c r="AR171">
        <v>0</v>
      </c>
      <c r="AS171">
        <v>877</v>
      </c>
      <c r="AT171">
        <v>0</v>
      </c>
      <c r="AU171">
        <v>0</v>
      </c>
      <c r="AV171">
        <v>100</v>
      </c>
      <c r="AW171">
        <v>100</v>
      </c>
      <c r="AX171">
        <v>807716</v>
      </c>
      <c r="AY171">
        <v>678481</v>
      </c>
      <c r="AZ171">
        <v>453</v>
      </c>
      <c r="BA171">
        <v>365</v>
      </c>
      <c r="BB171">
        <v>88</v>
      </c>
      <c r="BC171">
        <v>0</v>
      </c>
      <c r="BD171" s="6">
        <v>44839</v>
      </c>
      <c r="BE171" t="s">
        <v>119</v>
      </c>
      <c r="BF171">
        <v>750000</v>
      </c>
      <c r="BG171">
        <v>691248</v>
      </c>
      <c r="BH171" t="s">
        <v>198</v>
      </c>
      <c r="BI171">
        <v>30</v>
      </c>
      <c r="BJ171" t="s">
        <v>51</v>
      </c>
      <c r="BK171" t="s">
        <v>314</v>
      </c>
      <c r="BL171">
        <v>725100</v>
      </c>
      <c r="BM171">
        <v>115200</v>
      </c>
      <c r="BN171">
        <v>609900</v>
      </c>
      <c r="BO171">
        <v>58752</v>
      </c>
      <c r="BP171">
        <v>0.96679999999999999</v>
      </c>
      <c r="BQ171">
        <v>683469.57913623797</v>
      </c>
      <c r="BR171">
        <v>732825.9754968381</v>
      </c>
      <c r="BS171" s="7">
        <f>(BR171-BL171)/BL171</f>
        <v>1.0655048264843611E-2</v>
      </c>
      <c r="BT171" s="14">
        <f>(Sales[[#This Row],[DP1]]*Lookups!$B$51)+(Sales[[#This Row],[DP2]]*Lookups!$B$52)+(Sales[[#This Row],[DP3]]*Lookups!$B$53)</f>
        <v>-49356.409952000002</v>
      </c>
      <c r="BU171" s="14">
        <f>Lookups!$B$48*0.5</f>
        <v>87214.824999999997</v>
      </c>
      <c r="BV171" s="14">
        <f>Lookups!$B$48*0.5</f>
        <v>87214.824999999997</v>
      </c>
      <c r="BW171" s="14">
        <f>Lookups!$B$49*Sales[[#This Row],[LnAcres]]</f>
        <v>-19984.927650753172</v>
      </c>
      <c r="BX171" s="14">
        <f>VLOOKUP(Sales[[#This Row],[Qlty]],Lookups!$A$54:$E$67,2,FALSE)</f>
        <v>46722.525125</v>
      </c>
      <c r="BY171" s="14">
        <f>VLOOKUP(Sales[[#This Row],[Cnd]],Lookups!$A$68:$E$76,2,FALSE)</f>
        <v>106557.38887</v>
      </c>
      <c r="BZ171" s="14">
        <f>Sales[[#This Row],[Age]]*Lookups!$B$77</f>
        <v>12362.33281</v>
      </c>
      <c r="CA171" s="14">
        <f>Sales[[#This Row],[MainFn]]*Lookups!$B$78</f>
        <v>160342.708339</v>
      </c>
      <c r="CB171" s="14">
        <f>Sales[[#This Row],[UpprFn]]*Lookups!$B$79</f>
        <v>0</v>
      </c>
      <c r="CC171" s="14">
        <f>Sales[[#This Row],[AddFn]]*Lookups!$B$80</f>
        <v>0</v>
      </c>
      <c r="CD171" s="14">
        <f>Sales[[#This Row],[Bsmt]]*Lookups!$B$81</f>
        <v>59677.660587999999</v>
      </c>
      <c r="CE171" s="14">
        <f>Sales[[#This Row],[Fixtures]]*Lookups!$B$84</f>
        <v>142171.4</v>
      </c>
      <c r="CF171" s="14">
        <f>Sales[[#This Row],[MsnryFP]]*Lookups!$B$82</f>
        <v>50547.245999999999</v>
      </c>
      <c r="CG171" s="14">
        <f>Sales[[#This Row],[PrefabFP]]*Lookups!$B$83</f>
        <v>0</v>
      </c>
      <c r="CH171" s="14">
        <f>Sales[[#This Row],[GarageArea]]*Lookups!$B$85</f>
        <v>0</v>
      </c>
      <c r="CI171" s="14">
        <f>SUM(Sales[[#This Row],[Days Prior Total]:[Mdl GarageArea]])</f>
        <v>683469.57412924687</v>
      </c>
      <c r="CJ171" s="14">
        <f>ROUND(Sales[[#This Row],[25Det]],-2)</f>
        <v>58800</v>
      </c>
      <c r="CK171" s="14">
        <f>ROUND(SUM(Sales[[#This Row],[Mdl Qlty]:[Mdl GarageArea]])+Sales[[#This Row],[Mdl Res Intercept]]+Sales[[#This Row],[Days Prior Total]],-2)</f>
        <v>616200</v>
      </c>
      <c r="CL171" s="14">
        <f>ROUND(Sales[[#This Row],[Mdl Land Intercept]]+Sales[[#This Row],[Mdl LnAcres]],-2)</f>
        <v>67200</v>
      </c>
      <c r="CM171" s="14">
        <f>Sales[[#This Row],[Unadj Res Value]]+Sales[[#This Row],[Unadj Det Value]]+Sales[[#This Row],[Unadj Land Value]]</f>
        <v>742200</v>
      </c>
      <c r="CN171" s="15">
        <f>Sales[[#This Row],[Unadj Total Value]]/Sales[[#This Row],[Price]]</f>
        <v>0.98960000000000004</v>
      </c>
      <c r="CO171" s="15">
        <f>(Sales[[#This Row],[Unadj Total Value]]-Sales[[#This Row],[24Final]])/Sales[[#This Row],[24Final]]</f>
        <v>2.3582954075299957E-2</v>
      </c>
      <c r="CP171">
        <f>VLOOKUP(Sales[[#This Row],[TNbhd]],Lookups!$M$2:$P$4,4,FALSE)</f>
        <v>0.97570000000000001</v>
      </c>
      <c r="CQ171">
        <f>VLOOKUP(Sales[[#This Row],[Qlty]],Lookups!$M$6:$P$20,4,FALSE)</f>
        <v>0.98329999999999995</v>
      </c>
      <c r="CR171">
        <f>VLOOKUP(Sales[[#This Row],[Cnd]],Lookups!$R$6:$U$15,4,FALSE)</f>
        <v>0.9748</v>
      </c>
      <c r="CS171">
        <f>VLOOKUP(Sales[[#This Row],[LivArea Range]],Lookups!$R$23:$U$39,4,FALSE)</f>
        <v>1.0087999999999999</v>
      </c>
      <c r="CT171">
        <f>VLOOKUP(Sales[[#This Row],[Decade]],Lookups!$M$23:$P$35,4,FALSE)</f>
        <v>0.95089999999999997</v>
      </c>
      <c r="CU171">
        <f>Sales[[#This Row],[Nbhd Adj]]*0.95</f>
        <v>0.92691499999999993</v>
      </c>
      <c r="CV171">
        <f>Sales[[#This Row],[Nbhd Adj]]*Sales[[#This Row],[Quality Adj]]*Sales[[#This Row],[Condition Adj]]*Sales[[#This Row],[Living Area Adj]]*Sales[[#This Row],[Decade Adj]]*0.95</f>
        <v>0.85227822145876098</v>
      </c>
      <c r="CW171">
        <f>ROUND(SUM(Sales[[#This Row],[Mdl Qlty]:[Mdl GarageArea]])+Sales[[#This Row],[Mdl Res Intercept]]*Sales[[#This Row],[Res Adj ]],-2)</f>
        <v>652700</v>
      </c>
      <c r="CX171">
        <f>ROUND(Sales[[#This Row],[25Det]]*Sales[[#This Row],[Det/Nbhd Adj]],-2)</f>
        <v>54500</v>
      </c>
      <c r="CY171">
        <f>Sales[[#This Row],[Adjusted Res]]+Sales[[#This Row],[Adj Det ]]</f>
        <v>707200</v>
      </c>
      <c r="CZ171">
        <f>ROUND((Sales[[#This Row],[Mdl Land Intercept]]+Sales[[#This Row],[Mdl LnAcres]])*Sales[[#This Row],[Det/Nbhd Adj]],-2)</f>
        <v>62300</v>
      </c>
      <c r="DA171">
        <f>Sales[[#This Row],[Adjusted Impr Total]]+Sales[[#This Row],[Adjusted Land Total]]</f>
        <v>769500</v>
      </c>
      <c r="DB171">
        <f>IFERROR((Sales[[#This Row],[Adjusted Impr Total]]-Sales[[#This Row],[24Bldg]])/Sales[[#This Row],[24Bldg]],0)</f>
        <v>0.15953434989342516</v>
      </c>
      <c r="DC171">
        <f>(Sales[[#This Row],[Adjusted Land Total]]-Sales[[#This Row],[24Lnd]])/Sales[[#This Row],[24Lnd]]</f>
        <v>-0.4592013888888889</v>
      </c>
      <c r="DD171">
        <f>(Sales[[#This Row],[Adjusted Total]]-Sales[[#This Row],[24Final]])/Sales[[#This Row],[24Final]]</f>
        <v>6.123293338849814E-2</v>
      </c>
      <c r="DE171">
        <f>(Sales[[#This Row],[Adjusted Total]]+Sales[[#This Row],[Days Prior Total]])/Sales[[#This Row],[Price]]</f>
        <v>0.96019145339733336</v>
      </c>
    </row>
    <row r="172" spans="1:109" x14ac:dyDescent="0.3">
      <c r="A172">
        <v>2025</v>
      </c>
      <c r="B172">
        <v>18131533428</v>
      </c>
      <c r="C172">
        <v>-1.5141277326297755</v>
      </c>
      <c r="D172">
        <v>0.22</v>
      </c>
      <c r="E172">
        <v>9494</v>
      </c>
      <c r="F172">
        <v>5</v>
      </c>
      <c r="G172" t="s">
        <v>89</v>
      </c>
      <c r="H172">
        <v>3042</v>
      </c>
      <c r="I172" t="s">
        <v>302</v>
      </c>
      <c r="J172" t="s">
        <v>26</v>
      </c>
      <c r="K172">
        <v>11</v>
      </c>
      <c r="L172">
        <v>259</v>
      </c>
      <c r="M172" t="s">
        <v>172</v>
      </c>
      <c r="N172" t="s">
        <v>205</v>
      </c>
      <c r="O172" t="s">
        <v>231</v>
      </c>
      <c r="P172">
        <v>1956</v>
      </c>
      <c r="Q172">
        <v>1974</v>
      </c>
      <c r="R172">
        <v>70</v>
      </c>
      <c r="S172">
        <v>68</v>
      </c>
      <c r="T172">
        <v>50</v>
      </c>
      <c r="U172">
        <v>1</v>
      </c>
      <c r="V172">
        <v>1080</v>
      </c>
      <c r="W172">
        <v>0</v>
      </c>
      <c r="X172">
        <v>0</v>
      </c>
      <c r="Y172">
        <v>1080</v>
      </c>
      <c r="Z172">
        <v>1080</v>
      </c>
      <c r="AA172">
        <v>0</v>
      </c>
      <c r="AB172">
        <v>2160</v>
      </c>
      <c r="AC172">
        <v>2500</v>
      </c>
      <c r="AD172">
        <v>1</v>
      </c>
      <c r="AF172" t="s">
        <v>275</v>
      </c>
      <c r="AG172" t="s">
        <v>111</v>
      </c>
      <c r="AH172" t="s">
        <v>314</v>
      </c>
      <c r="AI172">
        <v>0</v>
      </c>
      <c r="AJ172">
        <v>2</v>
      </c>
      <c r="AK172">
        <v>0</v>
      </c>
      <c r="AL172">
        <v>1</v>
      </c>
      <c r="AM172">
        <v>0</v>
      </c>
      <c r="AN172">
        <v>8</v>
      </c>
      <c r="AO172">
        <v>288</v>
      </c>
      <c r="AP172">
        <v>0</v>
      </c>
      <c r="AQ172">
        <v>288</v>
      </c>
      <c r="AR172">
        <v>0</v>
      </c>
      <c r="AS172">
        <v>482</v>
      </c>
      <c r="AT172">
        <v>144</v>
      </c>
      <c r="AU172">
        <v>0</v>
      </c>
      <c r="AV172">
        <v>100</v>
      </c>
      <c r="AW172">
        <v>100</v>
      </c>
      <c r="AX172">
        <v>314010</v>
      </c>
      <c r="AY172">
        <v>222947</v>
      </c>
      <c r="AZ172">
        <v>944</v>
      </c>
      <c r="BA172">
        <v>365</v>
      </c>
      <c r="BB172">
        <v>365</v>
      </c>
      <c r="BC172">
        <v>214</v>
      </c>
      <c r="BD172" s="6">
        <v>44348</v>
      </c>
      <c r="BE172" t="s">
        <v>190</v>
      </c>
      <c r="BF172">
        <v>360000</v>
      </c>
      <c r="BG172">
        <v>360000</v>
      </c>
      <c r="BH172" t="s">
        <v>198</v>
      </c>
      <c r="BI172">
        <v>30</v>
      </c>
      <c r="BJ172" t="s">
        <v>51</v>
      </c>
      <c r="BK172" t="s">
        <v>314</v>
      </c>
      <c r="BL172">
        <v>367700</v>
      </c>
      <c r="BM172">
        <v>74500</v>
      </c>
      <c r="BN172">
        <v>293200</v>
      </c>
      <c r="BO172">
        <v>0</v>
      </c>
      <c r="BP172">
        <v>1.0213888888888889</v>
      </c>
      <c r="BQ172">
        <v>281619.63437102997</v>
      </c>
      <c r="BR172">
        <v>370658.40585637104</v>
      </c>
      <c r="BS172" s="7">
        <f>(BR172-BL172)/BL172</f>
        <v>8.0457053477591585E-3</v>
      </c>
      <c r="BT172" s="14">
        <f>(Sales[[#This Row],[DP1]]*Lookups!$B$51)+(Sales[[#This Row],[DP2]]*Lookups!$B$52)+(Sales[[#This Row],[DP3]]*Lookups!$B$53)</f>
        <v>-89038.774710000012</v>
      </c>
      <c r="BU172" s="14">
        <f>Lookups!$B$48*0.5</f>
        <v>87214.824999999997</v>
      </c>
      <c r="BV172" s="14">
        <f>Lookups!$B$48*0.5</f>
        <v>87214.824999999997</v>
      </c>
      <c r="BW172" s="14">
        <f>Lookups!$B$49*Sales[[#This Row],[LnAcres]]</f>
        <v>-37895.355716587197</v>
      </c>
      <c r="BX172" s="14">
        <f>VLOOKUP(Sales[[#This Row],[Qlty]],Lookups!$A$54:$E$67,2,FALSE)</f>
        <v>30313.66692</v>
      </c>
      <c r="BY172" s="14">
        <f>VLOOKUP(Sales[[#This Row],[Cnd]],Lookups!$A$68:$E$76,2,FALSE)</f>
        <v>0</v>
      </c>
      <c r="BZ172" s="14">
        <f>Sales[[#This Row],[Age]]*Lookups!$B$77</f>
        <v>12546.845239999999</v>
      </c>
      <c r="CA172" s="14">
        <f>Sales[[#This Row],[MainFn]]*Lookups!$B$78</f>
        <v>74610.135720000006</v>
      </c>
      <c r="CB172" s="14">
        <f>Sales[[#This Row],[UpprFn]]*Lookups!$B$79</f>
        <v>0</v>
      </c>
      <c r="CC172" s="14">
        <f>Sales[[#This Row],[AddFn]]*Lookups!$B$80</f>
        <v>0</v>
      </c>
      <c r="CD172" s="14">
        <f>Sales[[#This Row],[Bsmt]]*Lookups!$B$81</f>
        <v>30897.350639999997</v>
      </c>
      <c r="CE172" s="14">
        <f>Sales[[#This Row],[Fixtures]]*Lookups!$B$84</f>
        <v>81240.800000000003</v>
      </c>
      <c r="CF172" s="14">
        <f>Sales[[#This Row],[MsnryFP]]*Lookups!$B$82</f>
        <v>50547.245999999999</v>
      </c>
      <c r="CG172" s="14">
        <f>Sales[[#This Row],[PrefabFP]]*Lookups!$B$83</f>
        <v>0</v>
      </c>
      <c r="CH172" s="14">
        <f>Sales[[#This Row],[GarageArea]]*Lookups!$B$85</f>
        <v>14595.407136</v>
      </c>
      <c r="CI172" s="14">
        <f>SUM(Sales[[#This Row],[Days Prior Total]:[Mdl GarageArea]])</f>
        <v>342246.97122941277</v>
      </c>
      <c r="CJ172" s="14">
        <f>ROUND(Sales[[#This Row],[25Det]],-2)</f>
        <v>0</v>
      </c>
      <c r="CK172" s="14">
        <f>ROUND(SUM(Sales[[#This Row],[Mdl Qlty]:[Mdl GarageArea]])+Sales[[#This Row],[Mdl Res Intercept]]+Sales[[#This Row],[Days Prior Total]],-2)</f>
        <v>292900</v>
      </c>
      <c r="CL172" s="14">
        <f>ROUND(Sales[[#This Row],[Mdl Land Intercept]]+Sales[[#This Row],[Mdl LnAcres]],-2)</f>
        <v>49300</v>
      </c>
      <c r="CM172" s="14">
        <f>Sales[[#This Row],[Unadj Res Value]]+Sales[[#This Row],[Unadj Det Value]]+Sales[[#This Row],[Unadj Land Value]]</f>
        <v>342200</v>
      </c>
      <c r="CN172" s="15">
        <f>Sales[[#This Row],[Unadj Total Value]]/Sales[[#This Row],[Price]]</f>
        <v>0.9505555555555556</v>
      </c>
      <c r="CO172" s="15">
        <f>(Sales[[#This Row],[Unadj Total Value]]-Sales[[#This Row],[24Final]])/Sales[[#This Row],[24Final]]</f>
        <v>-6.9350013598041882E-2</v>
      </c>
      <c r="CP172">
        <f>VLOOKUP(Sales[[#This Row],[TNbhd]],Lookups!$M$2:$P$4,4,FALSE)</f>
        <v>0.97570000000000001</v>
      </c>
      <c r="CQ172">
        <f>VLOOKUP(Sales[[#This Row],[Qlty]],Lookups!$M$6:$P$20,4,FALSE)</f>
        <v>0.85299999999999998</v>
      </c>
      <c r="CR172">
        <f>VLOOKUP(Sales[[#This Row],[Cnd]],Lookups!$R$6:$U$15,4,FALSE)</f>
        <v>0.9677</v>
      </c>
      <c r="CS172">
        <f>VLOOKUP(Sales[[#This Row],[LivArea Range]],Lookups!$R$23:$U$39,4,FALSE)</f>
        <v>0.93440000000000001</v>
      </c>
      <c r="CT172">
        <f>VLOOKUP(Sales[[#This Row],[Decade]],Lookups!$M$23:$P$35,4,FALSE)</f>
        <v>0.95089999999999997</v>
      </c>
      <c r="CU172">
        <f>Sales[[#This Row],[Nbhd Adj]]*0.95</f>
        <v>0.92691499999999993</v>
      </c>
      <c r="CV172">
        <f>Sales[[#This Row],[Nbhd Adj]]*Sales[[#This Row],[Quality Adj]]*Sales[[#This Row],[Condition Adj]]*Sales[[#This Row],[Living Area Adj]]*Sales[[#This Row],[Decade Adj]]*0.95</f>
        <v>0.67982535737574656</v>
      </c>
      <c r="CW172">
        <f>ROUND(SUM(Sales[[#This Row],[Mdl Qlty]:[Mdl GarageArea]])+Sales[[#This Row],[Mdl Res Intercept]]*Sales[[#This Row],[Res Adj ]],-2)</f>
        <v>354000</v>
      </c>
      <c r="CX172">
        <f>ROUND(Sales[[#This Row],[25Det]]*Sales[[#This Row],[Det/Nbhd Adj]],-2)</f>
        <v>0</v>
      </c>
      <c r="CY172">
        <f>Sales[[#This Row],[Adjusted Res]]+Sales[[#This Row],[Adj Det ]]</f>
        <v>354000</v>
      </c>
      <c r="CZ172">
        <f>ROUND((Sales[[#This Row],[Mdl Land Intercept]]+Sales[[#This Row],[Mdl LnAcres]])*Sales[[#This Row],[Det/Nbhd Adj]],-2)</f>
        <v>45700</v>
      </c>
      <c r="DA172">
        <f>Sales[[#This Row],[Adjusted Impr Total]]+Sales[[#This Row],[Adjusted Land Total]]</f>
        <v>399700</v>
      </c>
      <c r="DB172">
        <f>IFERROR((Sales[[#This Row],[Adjusted Impr Total]]-Sales[[#This Row],[24Bldg]])/Sales[[#This Row],[24Bldg]],0)</f>
        <v>0.20736698499317871</v>
      </c>
      <c r="DC172">
        <f>(Sales[[#This Row],[Adjusted Land Total]]-Sales[[#This Row],[24Lnd]])/Sales[[#This Row],[24Lnd]]</f>
        <v>-0.38657718120805368</v>
      </c>
      <c r="DD172">
        <f>(Sales[[#This Row],[Adjusted Total]]-Sales[[#This Row],[24Final]])/Sales[[#This Row],[24Final]]</f>
        <v>8.7027468044601583E-2</v>
      </c>
      <c r="DE172">
        <f>(Sales[[#This Row],[Adjusted Total]]+Sales[[#This Row],[Days Prior Total]])/Sales[[#This Row],[Price]]</f>
        <v>0.86294784802777769</v>
      </c>
    </row>
    <row r="173" spans="1:109" x14ac:dyDescent="0.3">
      <c r="A173">
        <v>2025</v>
      </c>
      <c r="B173">
        <v>18131644492</v>
      </c>
      <c r="C173">
        <v>-0.96758402626170559</v>
      </c>
      <c r="D173">
        <v>0.38</v>
      </c>
      <c r="E173">
        <v>16534</v>
      </c>
      <c r="F173">
        <v>5</v>
      </c>
      <c r="G173" t="s">
        <v>89</v>
      </c>
      <c r="H173">
        <v>3042</v>
      </c>
      <c r="I173" t="s">
        <v>302</v>
      </c>
      <c r="J173" t="s">
        <v>26</v>
      </c>
      <c r="K173">
        <v>11</v>
      </c>
      <c r="L173">
        <v>259</v>
      </c>
      <c r="M173" t="s">
        <v>172</v>
      </c>
      <c r="N173" t="s">
        <v>111</v>
      </c>
      <c r="O173" t="s">
        <v>207</v>
      </c>
      <c r="P173">
        <v>1956</v>
      </c>
      <c r="Q173">
        <v>1974</v>
      </c>
      <c r="R173">
        <v>70</v>
      </c>
      <c r="S173">
        <v>68</v>
      </c>
      <c r="T173">
        <v>50</v>
      </c>
      <c r="U173">
        <v>1</v>
      </c>
      <c r="V173">
        <v>1452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1452</v>
      </c>
      <c r="AC173">
        <v>1500</v>
      </c>
      <c r="AD173">
        <v>2</v>
      </c>
      <c r="AF173" t="s">
        <v>275</v>
      </c>
      <c r="AG173" t="s">
        <v>111</v>
      </c>
      <c r="AH173" t="s">
        <v>314</v>
      </c>
      <c r="AI173">
        <v>0</v>
      </c>
      <c r="AJ173">
        <v>1</v>
      </c>
      <c r="AK173">
        <v>0</v>
      </c>
      <c r="AL173">
        <v>0</v>
      </c>
      <c r="AM173">
        <v>0</v>
      </c>
      <c r="AN173">
        <v>7</v>
      </c>
      <c r="AO173">
        <v>528</v>
      </c>
      <c r="AP173">
        <v>0</v>
      </c>
      <c r="AQ173">
        <v>528</v>
      </c>
      <c r="AR173">
        <v>0</v>
      </c>
      <c r="AS173">
        <v>0</v>
      </c>
      <c r="AT173">
        <v>490</v>
      </c>
      <c r="AU173">
        <v>490</v>
      </c>
      <c r="AV173">
        <v>100</v>
      </c>
      <c r="AW173">
        <v>100</v>
      </c>
      <c r="AX173">
        <v>337887</v>
      </c>
      <c r="AY173">
        <v>263552</v>
      </c>
      <c r="AZ173">
        <v>220</v>
      </c>
      <c r="BA173">
        <v>220</v>
      </c>
      <c r="BB173">
        <v>0</v>
      </c>
      <c r="BC173">
        <v>0</v>
      </c>
      <c r="BD173" s="6">
        <v>45072</v>
      </c>
      <c r="BE173" t="s">
        <v>57</v>
      </c>
      <c r="BF173">
        <v>355000</v>
      </c>
      <c r="BG173">
        <v>355000</v>
      </c>
      <c r="BH173" t="s">
        <v>198</v>
      </c>
      <c r="BI173">
        <v>30</v>
      </c>
      <c r="BJ173" t="s">
        <v>51</v>
      </c>
      <c r="BK173" t="s">
        <v>314</v>
      </c>
      <c r="BL173">
        <v>403200</v>
      </c>
      <c r="BM173">
        <v>105600</v>
      </c>
      <c r="BN173">
        <v>297600</v>
      </c>
      <c r="BO173">
        <v>0</v>
      </c>
      <c r="BP173">
        <v>1.1357746478873239</v>
      </c>
      <c r="BQ173">
        <v>384335.26749735721</v>
      </c>
      <c r="BR173">
        <v>419130.89929626352</v>
      </c>
      <c r="BS173" s="7">
        <f>(BR173-BL173)/BL173</f>
        <v>3.9511158968907549E-2</v>
      </c>
      <c r="BT173" s="14">
        <f>(Sales[[#This Row],[DP1]]*Lookups!$B$51)+(Sales[[#This Row],[DP2]]*Lookups!$B$52)+(Sales[[#This Row],[DP3]]*Lookups!$B$53)</f>
        <v>-34795.64</v>
      </c>
      <c r="BU173" s="14">
        <f>Lookups!$B$48*0.5</f>
        <v>87214.824999999997</v>
      </c>
      <c r="BV173" s="14">
        <f>Lookups!$B$48*0.5</f>
        <v>87214.824999999997</v>
      </c>
      <c r="BW173" s="14">
        <f>Lookups!$B$49*Sales[[#This Row],[LnAcres]]</f>
        <v>-24216.544001337923</v>
      </c>
      <c r="BX173" s="14">
        <f>VLOOKUP(Sales[[#This Row],[Qlty]],Lookups!$A$54:$E$67,2,FALSE)</f>
        <v>-14329.694740000001</v>
      </c>
      <c r="BY173" s="14">
        <f>VLOOKUP(Sales[[#This Row],[Cnd]],Lookups!$A$68:$E$76,2,FALSE)</f>
        <v>47273.897095</v>
      </c>
      <c r="BZ173" s="14">
        <f>Sales[[#This Row],[Age]]*Lookups!$B$77</f>
        <v>12546.845239999999</v>
      </c>
      <c r="CA173" s="14">
        <f>Sales[[#This Row],[MainFn]]*Lookups!$B$78</f>
        <v>100309.18246800001</v>
      </c>
      <c r="CB173" s="14">
        <f>Sales[[#This Row],[UpprFn]]*Lookups!$B$79</f>
        <v>0</v>
      </c>
      <c r="CC173" s="14">
        <f>Sales[[#This Row],[AddFn]]*Lookups!$B$80</f>
        <v>0</v>
      </c>
      <c r="CD173" s="14">
        <f>Sales[[#This Row],[Bsmt]]*Lookups!$B$81</f>
        <v>0</v>
      </c>
      <c r="CE173" s="14">
        <f>Sales[[#This Row],[Fixtures]]*Lookups!$B$84</f>
        <v>71085.7</v>
      </c>
      <c r="CF173" s="14">
        <f>Sales[[#This Row],[MsnryFP]]*Lookups!$B$82</f>
        <v>25273.623</v>
      </c>
      <c r="CG173" s="14">
        <f>Sales[[#This Row],[PrefabFP]]*Lookups!$B$83</f>
        <v>0</v>
      </c>
      <c r="CH173" s="14">
        <f>Sales[[#This Row],[GarageArea]]*Lookups!$B$85</f>
        <v>26758.246416000002</v>
      </c>
      <c r="CI173" s="14">
        <f>SUM(Sales[[#This Row],[Days Prior Total]:[Mdl GarageArea]])</f>
        <v>384335.26547766209</v>
      </c>
      <c r="CJ173" s="14">
        <f>ROUND(Sales[[#This Row],[25Det]],-2)</f>
        <v>0</v>
      </c>
      <c r="CK173" s="14">
        <f>ROUND(SUM(Sales[[#This Row],[Mdl Qlty]:[Mdl GarageArea]])+Sales[[#This Row],[Mdl Res Intercept]]+Sales[[#This Row],[Days Prior Total]],-2)</f>
        <v>321300</v>
      </c>
      <c r="CL173" s="14">
        <f>ROUND(Sales[[#This Row],[Mdl Land Intercept]]+Sales[[#This Row],[Mdl LnAcres]],-2)</f>
        <v>63000</v>
      </c>
      <c r="CM173" s="14">
        <f>Sales[[#This Row],[Unadj Res Value]]+Sales[[#This Row],[Unadj Det Value]]+Sales[[#This Row],[Unadj Land Value]]</f>
        <v>384300</v>
      </c>
      <c r="CN173" s="15">
        <f>Sales[[#This Row],[Unadj Total Value]]/Sales[[#This Row],[Price]]</f>
        <v>1.0825352112676057</v>
      </c>
      <c r="CO173" s="15">
        <f>(Sales[[#This Row],[Unadj Total Value]]-Sales[[#This Row],[24Final]])/Sales[[#This Row],[24Final]]</f>
        <v>-4.6875E-2</v>
      </c>
      <c r="CP173">
        <f>VLOOKUP(Sales[[#This Row],[TNbhd]],Lookups!$M$2:$P$4,4,FALSE)</f>
        <v>0.97570000000000001</v>
      </c>
      <c r="CQ173">
        <f>VLOOKUP(Sales[[#This Row],[Qlty]],Lookups!$M$6:$P$20,4,FALSE)</f>
        <v>0.98809999999999998</v>
      </c>
      <c r="CR173">
        <f>VLOOKUP(Sales[[#This Row],[Cnd]],Lookups!$R$6:$U$15,4,FALSE)</f>
        <v>0.97829999999999995</v>
      </c>
      <c r="CS173">
        <f>VLOOKUP(Sales[[#This Row],[LivArea Range]],Lookups!$R$23:$U$39,4,FALSE)</f>
        <v>1.0062</v>
      </c>
      <c r="CT173">
        <f>VLOOKUP(Sales[[#This Row],[Decade]],Lookups!$M$23:$P$35,4,FALSE)</f>
        <v>0.95089999999999997</v>
      </c>
      <c r="CU173">
        <f>Sales[[#This Row],[Nbhd Adj]]*0.95</f>
        <v>0.92691499999999993</v>
      </c>
      <c r="CV173">
        <f>Sales[[#This Row],[Nbhd Adj]]*Sales[[#This Row],[Quality Adj]]*Sales[[#This Row],[Condition Adj]]*Sales[[#This Row],[Living Area Adj]]*Sales[[#This Row],[Decade Adj]]*0.95</f>
        <v>0.8572984203233398</v>
      </c>
      <c r="CW173">
        <f>ROUND(SUM(Sales[[#This Row],[Mdl Qlty]:[Mdl GarageArea]])+Sales[[#This Row],[Mdl Res Intercept]]*Sales[[#This Row],[Res Adj ]],-2)</f>
        <v>343700</v>
      </c>
      <c r="CX173">
        <f>ROUND(Sales[[#This Row],[25Det]]*Sales[[#This Row],[Det/Nbhd Adj]],-2)</f>
        <v>0</v>
      </c>
      <c r="CY173">
        <f>Sales[[#This Row],[Adjusted Res]]+Sales[[#This Row],[Adj Det ]]</f>
        <v>343700</v>
      </c>
      <c r="CZ173">
        <f>ROUND((Sales[[#This Row],[Mdl Land Intercept]]+Sales[[#This Row],[Mdl LnAcres]])*Sales[[#This Row],[Det/Nbhd Adj]],-2)</f>
        <v>58400</v>
      </c>
      <c r="DA173">
        <f>Sales[[#This Row],[Adjusted Impr Total]]+Sales[[#This Row],[Adjusted Land Total]]</f>
        <v>402100</v>
      </c>
      <c r="DB173">
        <f>IFERROR((Sales[[#This Row],[Adjusted Impr Total]]-Sales[[#This Row],[24Bldg]])/Sales[[#This Row],[24Bldg]],0)</f>
        <v>0.15490591397849462</v>
      </c>
      <c r="DC173">
        <f>(Sales[[#This Row],[Adjusted Land Total]]-Sales[[#This Row],[24Lnd]])/Sales[[#This Row],[24Lnd]]</f>
        <v>-0.44696969696969696</v>
      </c>
      <c r="DD173">
        <f>(Sales[[#This Row],[Adjusted Total]]-Sales[[#This Row],[24Final]])/Sales[[#This Row],[24Final]]</f>
        <v>-2.728174603174603E-3</v>
      </c>
      <c r="DE173">
        <f>(Sales[[#This Row],[Adjusted Total]]+Sales[[#This Row],[Days Prior Total]])/Sales[[#This Row],[Price]]</f>
        <v>1.0346601690140844</v>
      </c>
    </row>
    <row r="174" spans="1:109" x14ac:dyDescent="0.3">
      <c r="A174">
        <v>2025</v>
      </c>
      <c r="B174">
        <v>18131533418</v>
      </c>
      <c r="C174">
        <v>-1.5606477482646683</v>
      </c>
      <c r="D174">
        <v>0.21</v>
      </c>
      <c r="E174">
        <v>9154</v>
      </c>
      <c r="F174">
        <v>5</v>
      </c>
      <c r="G174" t="s">
        <v>89</v>
      </c>
      <c r="H174">
        <v>3042</v>
      </c>
      <c r="I174" t="s">
        <v>302</v>
      </c>
      <c r="J174" t="s">
        <v>26</v>
      </c>
      <c r="K174">
        <v>11</v>
      </c>
      <c r="L174">
        <v>259</v>
      </c>
      <c r="M174" t="s">
        <v>172</v>
      </c>
      <c r="N174" t="s">
        <v>257</v>
      </c>
      <c r="O174" t="s">
        <v>231</v>
      </c>
      <c r="P174">
        <v>1955</v>
      </c>
      <c r="Q174">
        <v>1974</v>
      </c>
      <c r="R174">
        <v>70</v>
      </c>
      <c r="S174">
        <v>69</v>
      </c>
      <c r="T174">
        <v>50</v>
      </c>
      <c r="U174">
        <v>1</v>
      </c>
      <c r="V174">
        <v>1390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1390</v>
      </c>
      <c r="AC174">
        <v>1500</v>
      </c>
      <c r="AD174">
        <v>1</v>
      </c>
      <c r="AF174" t="s">
        <v>276</v>
      </c>
      <c r="AG174" t="s">
        <v>274</v>
      </c>
      <c r="AI174">
        <v>0</v>
      </c>
      <c r="AJ174">
        <v>1</v>
      </c>
      <c r="AK174">
        <v>0</v>
      </c>
      <c r="AL174">
        <v>0</v>
      </c>
      <c r="AM174">
        <v>0</v>
      </c>
      <c r="AN174">
        <v>5</v>
      </c>
      <c r="AO174">
        <v>273</v>
      </c>
      <c r="AP174">
        <v>0</v>
      </c>
      <c r="AQ174">
        <v>273</v>
      </c>
      <c r="AR174">
        <v>0</v>
      </c>
      <c r="AS174">
        <v>0</v>
      </c>
      <c r="AT174">
        <v>216</v>
      </c>
      <c r="AU174">
        <v>0</v>
      </c>
      <c r="AV174">
        <v>100</v>
      </c>
      <c r="AW174">
        <v>100</v>
      </c>
      <c r="AX174">
        <v>224650</v>
      </c>
      <c r="AY174">
        <v>159502</v>
      </c>
      <c r="AZ174">
        <v>427</v>
      </c>
      <c r="BA174">
        <v>365</v>
      </c>
      <c r="BB174">
        <v>62</v>
      </c>
      <c r="BC174">
        <v>0</v>
      </c>
      <c r="BD174" s="6">
        <v>44865</v>
      </c>
      <c r="BE174" t="s">
        <v>28</v>
      </c>
      <c r="BF174">
        <v>290000</v>
      </c>
      <c r="BG174">
        <v>290000</v>
      </c>
      <c r="BH174" t="s">
        <v>198</v>
      </c>
      <c r="BI174">
        <v>30</v>
      </c>
      <c r="BJ174" t="s">
        <v>51</v>
      </c>
      <c r="BK174" t="s">
        <v>314</v>
      </c>
      <c r="BL174">
        <v>311200</v>
      </c>
      <c r="BM174">
        <v>71900</v>
      </c>
      <c r="BN174">
        <v>239300</v>
      </c>
      <c r="BO174">
        <v>0</v>
      </c>
      <c r="BP174">
        <v>1.0731034482758621</v>
      </c>
      <c r="BQ174">
        <v>282181.55692122108</v>
      </c>
      <c r="BR174">
        <v>334011.71147340123</v>
      </c>
      <c r="BS174" s="7">
        <f>(BR174-BL174)/BL174</f>
        <v>7.3302414760286719E-2</v>
      </c>
      <c r="BT174" s="14">
        <f>(Sales[[#This Row],[DP1]]*Lookups!$B$51)+(Sales[[#This Row],[DP2]]*Lookups!$B$52)+(Sales[[#This Row],[DP3]]*Lookups!$B$53)</f>
        <v>-51830.168148000004</v>
      </c>
      <c r="BU174" s="14">
        <f>Lookups!$B$48*0.5</f>
        <v>87214.824999999997</v>
      </c>
      <c r="BV174" s="14">
        <f>Lookups!$B$48*0.5</f>
        <v>87214.824999999997</v>
      </c>
      <c r="BW174" s="14">
        <f>Lookups!$B$49*Sales[[#This Row],[LnAcres]]</f>
        <v>-39059.651503814886</v>
      </c>
      <c r="BX174" s="14">
        <f>VLOOKUP(Sales[[#This Row],[Qlty]],Lookups!$A$54:$E$67,2,FALSE)</f>
        <v>0</v>
      </c>
      <c r="BY174" s="14">
        <f>VLOOKUP(Sales[[#This Row],[Cnd]],Lookups!$A$68:$E$76,2,FALSE)</f>
        <v>0</v>
      </c>
      <c r="BZ174" s="14">
        <f>Sales[[#This Row],[Age]]*Lookups!$B$77</f>
        <v>12731.357669999999</v>
      </c>
      <c r="CA174" s="14">
        <f>Sales[[#This Row],[MainFn]]*Lookups!$B$78</f>
        <v>96026.008010000005</v>
      </c>
      <c r="CB174" s="14">
        <f>Sales[[#This Row],[UpprFn]]*Lookups!$B$79</f>
        <v>0</v>
      </c>
      <c r="CC174" s="14">
        <f>Sales[[#This Row],[AddFn]]*Lookups!$B$80</f>
        <v>0</v>
      </c>
      <c r="CD174" s="14">
        <f>Sales[[#This Row],[Bsmt]]*Lookups!$B$81</f>
        <v>0</v>
      </c>
      <c r="CE174" s="14">
        <f>Sales[[#This Row],[Fixtures]]*Lookups!$B$84</f>
        <v>50775.5</v>
      </c>
      <c r="CF174" s="14">
        <f>Sales[[#This Row],[MsnryFP]]*Lookups!$B$82</f>
        <v>25273.623</v>
      </c>
      <c r="CG174" s="14">
        <f>Sales[[#This Row],[PrefabFP]]*Lookups!$B$83</f>
        <v>0</v>
      </c>
      <c r="CH174" s="14">
        <f>Sales[[#This Row],[GarageArea]]*Lookups!$B$85</f>
        <v>13835.229681000001</v>
      </c>
      <c r="CI174" s="14">
        <f>SUM(Sales[[#This Row],[Days Prior Total]:[Mdl GarageArea]])</f>
        <v>282181.54870918515</v>
      </c>
      <c r="CJ174" s="14">
        <f>ROUND(Sales[[#This Row],[25Det]],-2)</f>
        <v>0</v>
      </c>
      <c r="CK174" s="14">
        <f>ROUND(SUM(Sales[[#This Row],[Mdl Qlty]:[Mdl GarageArea]])+Sales[[#This Row],[Mdl Res Intercept]]+Sales[[#This Row],[Days Prior Total]],-2)</f>
        <v>234000</v>
      </c>
      <c r="CL174" s="14">
        <f>ROUND(Sales[[#This Row],[Mdl Land Intercept]]+Sales[[#This Row],[Mdl LnAcres]],-2)</f>
        <v>48200</v>
      </c>
      <c r="CM174" s="14">
        <f>Sales[[#This Row],[Unadj Res Value]]+Sales[[#This Row],[Unadj Det Value]]+Sales[[#This Row],[Unadj Land Value]]</f>
        <v>282200</v>
      </c>
      <c r="CN174" s="15">
        <f>Sales[[#This Row],[Unadj Total Value]]/Sales[[#This Row],[Price]]</f>
        <v>0.97310344827586204</v>
      </c>
      <c r="CO174" s="15">
        <f>(Sales[[#This Row],[Unadj Total Value]]-Sales[[#This Row],[24Final]])/Sales[[#This Row],[24Final]]</f>
        <v>-9.3187660668380468E-2</v>
      </c>
      <c r="CP174">
        <f>VLOOKUP(Sales[[#This Row],[TNbhd]],Lookups!$M$2:$P$4,4,FALSE)</f>
        <v>0.97570000000000001</v>
      </c>
      <c r="CQ174">
        <f>VLOOKUP(Sales[[#This Row],[Qlty]],Lookups!$M$6:$P$20,4,FALSE)</f>
        <v>1.0046999999999999</v>
      </c>
      <c r="CR174">
        <f>VLOOKUP(Sales[[#This Row],[Cnd]],Lookups!$R$6:$U$15,4,FALSE)</f>
        <v>0.9677</v>
      </c>
      <c r="CS174">
        <f>VLOOKUP(Sales[[#This Row],[LivArea Range]],Lookups!$R$23:$U$39,4,FALSE)</f>
        <v>1.0062</v>
      </c>
      <c r="CT174">
        <f>VLOOKUP(Sales[[#This Row],[Decade]],Lookups!$M$23:$P$35,4,FALSE)</f>
        <v>0.95089999999999997</v>
      </c>
      <c r="CU174">
        <f>Sales[[#This Row],[Nbhd Adj]]*0.95</f>
        <v>0.92691499999999993</v>
      </c>
      <c r="CV174">
        <f>Sales[[#This Row],[Nbhd Adj]]*Sales[[#This Row],[Quality Adj]]*Sales[[#This Row],[Condition Adj]]*Sales[[#This Row],[Living Area Adj]]*Sales[[#This Row],[Decade Adj]]*0.95</f>
        <v>0.86225597794706244</v>
      </c>
      <c r="CW174">
        <f>ROUND(SUM(Sales[[#This Row],[Mdl Qlty]:[Mdl GarageArea]])+Sales[[#This Row],[Mdl Res Intercept]]*Sales[[#This Row],[Res Adj ]],-2)</f>
        <v>273800</v>
      </c>
      <c r="CX174">
        <f>ROUND(Sales[[#This Row],[25Det]]*Sales[[#This Row],[Det/Nbhd Adj]],-2)</f>
        <v>0</v>
      </c>
      <c r="CY174">
        <f>Sales[[#This Row],[Adjusted Res]]+Sales[[#This Row],[Adj Det ]]</f>
        <v>273800</v>
      </c>
      <c r="CZ174">
        <f>ROUND((Sales[[#This Row],[Mdl Land Intercept]]+Sales[[#This Row],[Mdl LnAcres]])*Sales[[#This Row],[Det/Nbhd Adj]],-2)</f>
        <v>44600</v>
      </c>
      <c r="DA174">
        <f>Sales[[#This Row],[Adjusted Impr Total]]+Sales[[#This Row],[Adjusted Land Total]]</f>
        <v>318400</v>
      </c>
      <c r="DB174">
        <f>IFERROR((Sales[[#This Row],[Adjusted Impr Total]]-Sales[[#This Row],[24Bldg]])/Sales[[#This Row],[24Bldg]],0)</f>
        <v>0.14417049728374426</v>
      </c>
      <c r="DC174">
        <f>(Sales[[#This Row],[Adjusted Land Total]]-Sales[[#This Row],[24Lnd]])/Sales[[#This Row],[24Lnd]]</f>
        <v>-0.37969401947148818</v>
      </c>
      <c r="DD174">
        <f>(Sales[[#This Row],[Adjusted Total]]-Sales[[#This Row],[24Final]])/Sales[[#This Row],[24Final]]</f>
        <v>2.313624678663239E-2</v>
      </c>
      <c r="DE174">
        <f>(Sales[[#This Row],[Adjusted Total]]+Sales[[#This Row],[Days Prior Total]])/Sales[[#This Row],[Price]]</f>
        <v>0.91920631673103437</v>
      </c>
    </row>
    <row r="175" spans="1:109" x14ac:dyDescent="0.3">
      <c r="A175">
        <v>2025</v>
      </c>
      <c r="B175">
        <v>18131641445</v>
      </c>
      <c r="C175">
        <v>-0.35667494393873245</v>
      </c>
      <c r="D175">
        <v>0.7</v>
      </c>
      <c r="E175">
        <v>30362</v>
      </c>
      <c r="F175">
        <v>5</v>
      </c>
      <c r="G175" t="s">
        <v>89</v>
      </c>
      <c r="H175">
        <v>3041</v>
      </c>
      <c r="I175" t="s">
        <v>302</v>
      </c>
      <c r="J175" t="s">
        <v>26</v>
      </c>
      <c r="K175">
        <v>11</v>
      </c>
      <c r="L175">
        <v>259</v>
      </c>
      <c r="M175" t="s">
        <v>172</v>
      </c>
      <c r="N175" t="s">
        <v>257</v>
      </c>
      <c r="O175" t="s">
        <v>231</v>
      </c>
      <c r="P175">
        <v>1955</v>
      </c>
      <c r="Q175">
        <v>1974</v>
      </c>
      <c r="R175">
        <v>70</v>
      </c>
      <c r="S175">
        <v>69</v>
      </c>
      <c r="T175">
        <v>50</v>
      </c>
      <c r="U175">
        <v>1</v>
      </c>
      <c r="V175">
        <v>1440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1440</v>
      </c>
      <c r="AC175">
        <v>1500</v>
      </c>
      <c r="AD175">
        <v>0</v>
      </c>
      <c r="AF175" t="s">
        <v>275</v>
      </c>
      <c r="AG175" t="s">
        <v>111</v>
      </c>
      <c r="AH175" t="s">
        <v>314</v>
      </c>
      <c r="AI175">
        <v>0</v>
      </c>
      <c r="AJ175">
        <v>1</v>
      </c>
      <c r="AK175">
        <v>0</v>
      </c>
      <c r="AL175">
        <v>1</v>
      </c>
      <c r="AM175">
        <v>0</v>
      </c>
      <c r="AN175">
        <v>8</v>
      </c>
      <c r="AO175">
        <v>0</v>
      </c>
      <c r="AP175">
        <v>0</v>
      </c>
      <c r="AQ175">
        <v>0</v>
      </c>
      <c r="AR175">
        <v>392</v>
      </c>
      <c r="AS175">
        <v>0</v>
      </c>
      <c r="AT175">
        <v>300</v>
      </c>
      <c r="AU175">
        <v>300</v>
      </c>
      <c r="AV175">
        <v>100</v>
      </c>
      <c r="AW175">
        <v>100</v>
      </c>
      <c r="AX175">
        <v>263052</v>
      </c>
      <c r="AY175">
        <v>186767</v>
      </c>
      <c r="AZ175">
        <v>363</v>
      </c>
      <c r="BA175">
        <v>363</v>
      </c>
      <c r="BB175">
        <v>0</v>
      </c>
      <c r="BC175">
        <v>0</v>
      </c>
      <c r="BD175" s="6">
        <v>44929</v>
      </c>
      <c r="BE175" t="s">
        <v>175</v>
      </c>
      <c r="BF175">
        <v>398000</v>
      </c>
      <c r="BG175">
        <v>388742</v>
      </c>
      <c r="BH175" t="s">
        <v>198</v>
      </c>
      <c r="BI175">
        <v>30</v>
      </c>
      <c r="BJ175" t="s">
        <v>51</v>
      </c>
      <c r="BK175" t="s">
        <v>314</v>
      </c>
      <c r="BL175">
        <v>399000</v>
      </c>
      <c r="BM175">
        <v>140300</v>
      </c>
      <c r="BN175">
        <v>258700</v>
      </c>
      <c r="BO175">
        <v>9258</v>
      </c>
      <c r="BP175">
        <v>1.0025125628140703</v>
      </c>
      <c r="BQ175">
        <v>326816.00724894245</v>
      </c>
      <c r="BR175">
        <v>384228.79971713782</v>
      </c>
      <c r="BS175" s="7">
        <f>(BR175-BL175)/BL175</f>
        <v>-3.7020552087373877E-2</v>
      </c>
      <c r="BT175" s="14">
        <f>(Sales[[#This Row],[DP1]]*Lookups!$B$51)+(Sales[[#This Row],[DP2]]*Lookups!$B$52)+(Sales[[#This Row],[DP3]]*Lookups!$B$53)</f>
        <v>-57412.806000000004</v>
      </c>
      <c r="BU175" s="14">
        <f>Lookups!$B$48*0.5</f>
        <v>87214.824999999997</v>
      </c>
      <c r="BV175" s="14">
        <f>Lookups!$B$48*0.5</f>
        <v>87214.824999999997</v>
      </c>
      <c r="BW175" s="14">
        <f>Lookups!$B$49*Sales[[#This Row],[LnAcres]]</f>
        <v>-8926.8055689572302</v>
      </c>
      <c r="BX175" s="14">
        <f>VLOOKUP(Sales[[#This Row],[Qlty]],Lookups!$A$54:$E$67,2,FALSE)</f>
        <v>0</v>
      </c>
      <c r="BY175" s="14">
        <f>VLOOKUP(Sales[[#This Row],[Cnd]],Lookups!$A$68:$E$76,2,FALSE)</f>
        <v>0</v>
      </c>
      <c r="BZ175" s="14">
        <f>Sales[[#This Row],[Age]]*Lookups!$B$77</f>
        <v>12731.357669999999</v>
      </c>
      <c r="CA175" s="14">
        <f>Sales[[#This Row],[MainFn]]*Lookups!$B$78</f>
        <v>99480.180960000012</v>
      </c>
      <c r="CB175" s="14">
        <f>Sales[[#This Row],[UpprFn]]*Lookups!$B$79</f>
        <v>0</v>
      </c>
      <c r="CC175" s="14">
        <f>Sales[[#This Row],[AddFn]]*Lookups!$B$80</f>
        <v>0</v>
      </c>
      <c r="CD175" s="14">
        <f>Sales[[#This Row],[Bsmt]]*Lookups!$B$81</f>
        <v>0</v>
      </c>
      <c r="CE175" s="14">
        <f>Sales[[#This Row],[Fixtures]]*Lookups!$B$84</f>
        <v>81240.800000000003</v>
      </c>
      <c r="CF175" s="14">
        <f>Sales[[#This Row],[MsnryFP]]*Lookups!$B$82</f>
        <v>25273.623</v>
      </c>
      <c r="CG175" s="14">
        <f>Sales[[#This Row],[PrefabFP]]*Lookups!$B$83</f>
        <v>0</v>
      </c>
      <c r="CH175" s="14">
        <f>Sales[[#This Row],[GarageArea]]*Lookups!$B$85</f>
        <v>0</v>
      </c>
      <c r="CI175" s="14">
        <f>SUM(Sales[[#This Row],[Days Prior Total]:[Mdl GarageArea]])</f>
        <v>326816.00006104278</v>
      </c>
      <c r="CJ175" s="14">
        <f>ROUND(Sales[[#This Row],[25Det]],-2)</f>
        <v>9300</v>
      </c>
      <c r="CK175" s="14">
        <f>ROUND(SUM(Sales[[#This Row],[Mdl Qlty]:[Mdl GarageArea]])+Sales[[#This Row],[Mdl Res Intercept]]+Sales[[#This Row],[Days Prior Total]],-2)</f>
        <v>248500</v>
      </c>
      <c r="CL175" s="14">
        <f>ROUND(Sales[[#This Row],[Mdl Land Intercept]]+Sales[[#This Row],[Mdl LnAcres]],-2)</f>
        <v>78300</v>
      </c>
      <c r="CM175" s="14">
        <f>Sales[[#This Row],[Unadj Res Value]]+Sales[[#This Row],[Unadj Det Value]]+Sales[[#This Row],[Unadj Land Value]]</f>
        <v>336100</v>
      </c>
      <c r="CN175" s="15">
        <f>Sales[[#This Row],[Unadj Total Value]]/Sales[[#This Row],[Price]]</f>
        <v>0.84447236180904528</v>
      </c>
      <c r="CO175" s="15">
        <f>(Sales[[#This Row],[Unadj Total Value]]-Sales[[#This Row],[24Final]])/Sales[[#This Row],[24Final]]</f>
        <v>-0.15764411027568923</v>
      </c>
      <c r="CP175">
        <f>VLOOKUP(Sales[[#This Row],[TNbhd]],Lookups!$M$2:$P$4,4,FALSE)</f>
        <v>0.97570000000000001</v>
      </c>
      <c r="CQ175">
        <f>VLOOKUP(Sales[[#This Row],[Qlty]],Lookups!$M$6:$P$20,4,FALSE)</f>
        <v>1.0046999999999999</v>
      </c>
      <c r="CR175">
        <f>VLOOKUP(Sales[[#This Row],[Cnd]],Lookups!$R$6:$U$15,4,FALSE)</f>
        <v>0.9677</v>
      </c>
      <c r="CS175">
        <f>VLOOKUP(Sales[[#This Row],[LivArea Range]],Lookups!$R$23:$U$39,4,FALSE)</f>
        <v>1.0062</v>
      </c>
      <c r="CT175">
        <f>VLOOKUP(Sales[[#This Row],[Decade]],Lookups!$M$23:$P$35,4,FALSE)</f>
        <v>0.95089999999999997</v>
      </c>
      <c r="CU175">
        <f>Sales[[#This Row],[Nbhd Adj]]*0.95</f>
        <v>0.92691499999999993</v>
      </c>
      <c r="CV175">
        <f>Sales[[#This Row],[Nbhd Adj]]*Sales[[#This Row],[Quality Adj]]*Sales[[#This Row],[Condition Adj]]*Sales[[#This Row],[Living Area Adj]]*Sales[[#This Row],[Decade Adj]]*0.95</f>
        <v>0.86225597794706244</v>
      </c>
      <c r="CW175">
        <f>ROUND(SUM(Sales[[#This Row],[Mdl Qlty]:[Mdl GarageArea]])+Sales[[#This Row],[Mdl Res Intercept]]*Sales[[#This Row],[Res Adj ]],-2)</f>
        <v>293900</v>
      </c>
      <c r="CX175">
        <f>ROUND(Sales[[#This Row],[25Det]]*Sales[[#This Row],[Det/Nbhd Adj]],-2)</f>
        <v>8600</v>
      </c>
      <c r="CY175">
        <f>Sales[[#This Row],[Adjusted Res]]+Sales[[#This Row],[Adj Det ]]</f>
        <v>302500</v>
      </c>
      <c r="CZ175">
        <f>ROUND((Sales[[#This Row],[Mdl Land Intercept]]+Sales[[#This Row],[Mdl LnAcres]])*Sales[[#This Row],[Det/Nbhd Adj]],-2)</f>
        <v>72600</v>
      </c>
      <c r="DA175">
        <f>Sales[[#This Row],[Adjusted Impr Total]]+Sales[[#This Row],[Adjusted Land Total]]</f>
        <v>375100</v>
      </c>
      <c r="DB175">
        <f>IFERROR((Sales[[#This Row],[Adjusted Impr Total]]-Sales[[#This Row],[24Bldg]])/Sales[[#This Row],[24Bldg]],0)</f>
        <v>0.16930807885581756</v>
      </c>
      <c r="DC175">
        <f>(Sales[[#This Row],[Adjusted Land Total]]-Sales[[#This Row],[24Lnd]])/Sales[[#This Row],[24Lnd]]</f>
        <v>-0.48253741981468284</v>
      </c>
      <c r="DD175">
        <f>(Sales[[#This Row],[Adjusted Total]]-Sales[[#This Row],[24Final]])/Sales[[#This Row],[24Final]]</f>
        <v>-5.9899749373433585E-2</v>
      </c>
      <c r="DE175">
        <f>(Sales[[#This Row],[Adjusted Total]]+Sales[[#This Row],[Days Prior Total]])/Sales[[#This Row],[Price]]</f>
        <v>0.79820903015075384</v>
      </c>
    </row>
    <row r="176" spans="1:109" x14ac:dyDescent="0.3">
      <c r="A176">
        <v>2025</v>
      </c>
      <c r="B176">
        <v>18131644491</v>
      </c>
      <c r="C176">
        <v>-1.6607312068216509</v>
      </c>
      <c r="D176">
        <v>0.19</v>
      </c>
      <c r="E176">
        <v>8250</v>
      </c>
      <c r="F176">
        <v>5</v>
      </c>
      <c r="G176" t="s">
        <v>89</v>
      </c>
      <c r="H176">
        <v>3042</v>
      </c>
      <c r="I176" t="s">
        <v>302</v>
      </c>
      <c r="J176" t="s">
        <v>26</v>
      </c>
      <c r="K176">
        <v>11</v>
      </c>
      <c r="L176">
        <v>259</v>
      </c>
      <c r="M176" t="s">
        <v>172</v>
      </c>
      <c r="N176" t="s">
        <v>205</v>
      </c>
      <c r="O176" t="s">
        <v>231</v>
      </c>
      <c r="P176">
        <v>1955</v>
      </c>
      <c r="Q176">
        <v>1974</v>
      </c>
      <c r="R176">
        <v>70</v>
      </c>
      <c r="S176">
        <v>69</v>
      </c>
      <c r="T176">
        <v>50</v>
      </c>
      <c r="U176">
        <v>1</v>
      </c>
      <c r="V176">
        <v>1130</v>
      </c>
      <c r="W176">
        <v>0</v>
      </c>
      <c r="X176">
        <v>0</v>
      </c>
      <c r="Y176">
        <v>1130</v>
      </c>
      <c r="Z176">
        <v>1130</v>
      </c>
      <c r="AA176">
        <v>0</v>
      </c>
      <c r="AB176">
        <v>2260</v>
      </c>
      <c r="AC176">
        <v>2500</v>
      </c>
      <c r="AD176">
        <v>0</v>
      </c>
      <c r="AF176" t="s">
        <v>275</v>
      </c>
      <c r="AG176" t="s">
        <v>111</v>
      </c>
      <c r="AI176">
        <v>0</v>
      </c>
      <c r="AJ176">
        <v>1</v>
      </c>
      <c r="AK176">
        <v>0</v>
      </c>
      <c r="AL176">
        <v>0</v>
      </c>
      <c r="AM176">
        <v>1</v>
      </c>
      <c r="AN176">
        <v>7</v>
      </c>
      <c r="AO176">
        <v>0</v>
      </c>
      <c r="AP176">
        <v>0</v>
      </c>
      <c r="AQ176">
        <v>0</v>
      </c>
      <c r="AR176">
        <v>0</v>
      </c>
      <c r="AS176">
        <v>135</v>
      </c>
      <c r="AT176">
        <v>289</v>
      </c>
      <c r="AU176">
        <v>56</v>
      </c>
      <c r="AV176">
        <v>100</v>
      </c>
      <c r="AW176">
        <v>100</v>
      </c>
      <c r="AX176">
        <v>301172</v>
      </c>
      <c r="AY176">
        <v>213832</v>
      </c>
      <c r="AZ176">
        <v>529</v>
      </c>
      <c r="BA176">
        <v>365</v>
      </c>
      <c r="BB176">
        <v>164</v>
      </c>
      <c r="BC176">
        <v>0</v>
      </c>
      <c r="BD176" s="6">
        <v>44763</v>
      </c>
      <c r="BE176" t="s">
        <v>278</v>
      </c>
      <c r="BF176">
        <v>330000</v>
      </c>
      <c r="BG176">
        <v>330000</v>
      </c>
      <c r="BH176" t="s">
        <v>198</v>
      </c>
      <c r="BI176">
        <v>30</v>
      </c>
      <c r="BJ176" t="s">
        <v>51</v>
      </c>
      <c r="BK176" t="s">
        <v>314</v>
      </c>
      <c r="BL176">
        <v>302900</v>
      </c>
      <c r="BM176">
        <v>66200</v>
      </c>
      <c r="BN176">
        <v>236700</v>
      </c>
      <c r="BO176">
        <v>0</v>
      </c>
      <c r="BP176">
        <v>0.91787878787878785</v>
      </c>
      <c r="BQ176">
        <v>279908.81432046549</v>
      </c>
      <c r="BR176">
        <v>322034.22519798583</v>
      </c>
      <c r="BS176" s="7">
        <f>(BR176-BL176)/BL176</f>
        <v>6.3170106299061821E-2</v>
      </c>
      <c r="BT176" s="14">
        <f>(Sales[[#This Row],[DP1]]*Lookups!$B$51)+(Sales[[#This Row],[DP2]]*Lookups!$B$52)+(Sales[[#This Row],[DP3]]*Lookups!$B$53)</f>
        <v>-42125.424456000008</v>
      </c>
      <c r="BU176" s="14">
        <f>Lookups!$B$48*0.5</f>
        <v>87214.824999999997</v>
      </c>
      <c r="BV176" s="14">
        <f>Lookups!$B$48*0.5</f>
        <v>87214.824999999997</v>
      </c>
      <c r="BW176" s="14">
        <f>Lookups!$B$49*Sales[[#This Row],[LnAcres]]</f>
        <v>-41564.524891726433</v>
      </c>
      <c r="BX176" s="14">
        <f>VLOOKUP(Sales[[#This Row],[Qlty]],Lookups!$A$54:$E$67,2,FALSE)</f>
        <v>30313.66692</v>
      </c>
      <c r="BY176" s="14">
        <f>VLOOKUP(Sales[[#This Row],[Cnd]],Lookups!$A$68:$E$76,2,FALSE)</f>
        <v>0</v>
      </c>
      <c r="BZ176" s="14">
        <f>Sales[[#This Row],[Age]]*Lookups!$B$77</f>
        <v>12731.357669999999</v>
      </c>
      <c r="CA176" s="14">
        <f>Sales[[#This Row],[MainFn]]*Lookups!$B$78</f>
        <v>78064.308669999999</v>
      </c>
      <c r="CB176" s="14">
        <f>Sales[[#This Row],[UpprFn]]*Lookups!$B$79</f>
        <v>0</v>
      </c>
      <c r="CC176" s="14">
        <f>Sales[[#This Row],[AddFn]]*Lookups!$B$80</f>
        <v>0</v>
      </c>
      <c r="CD176" s="14">
        <f>Sales[[#This Row],[Bsmt]]*Lookups!$B$81</f>
        <v>32327.783539999997</v>
      </c>
      <c r="CE176" s="14">
        <f>Sales[[#This Row],[Fixtures]]*Lookups!$B$84</f>
        <v>71085.7</v>
      </c>
      <c r="CF176" s="14">
        <f>Sales[[#This Row],[MsnryFP]]*Lookups!$B$82</f>
        <v>25273.623</v>
      </c>
      <c r="CG176" s="14">
        <f>Sales[[#This Row],[PrefabFP]]*Lookups!$B$83</f>
        <v>0</v>
      </c>
      <c r="CH176" s="14">
        <f>Sales[[#This Row],[GarageArea]]*Lookups!$B$85</f>
        <v>0</v>
      </c>
      <c r="CI176" s="14">
        <f>SUM(Sales[[#This Row],[Days Prior Total]:[Mdl GarageArea]])</f>
        <v>340536.1404522736</v>
      </c>
      <c r="CJ176" s="14">
        <f>ROUND(Sales[[#This Row],[25Det]],-2)</f>
        <v>0</v>
      </c>
      <c r="CK176" s="14">
        <f>ROUND(SUM(Sales[[#This Row],[Mdl Qlty]:[Mdl GarageArea]])+Sales[[#This Row],[Mdl Res Intercept]]+Sales[[#This Row],[Days Prior Total]],-2)</f>
        <v>294900</v>
      </c>
      <c r="CL176" s="14">
        <f>ROUND(Sales[[#This Row],[Mdl Land Intercept]]+Sales[[#This Row],[Mdl LnAcres]],-2)</f>
        <v>45700</v>
      </c>
      <c r="CM176" s="14">
        <f>Sales[[#This Row],[Unadj Res Value]]+Sales[[#This Row],[Unadj Det Value]]+Sales[[#This Row],[Unadj Land Value]]</f>
        <v>340600</v>
      </c>
      <c r="CN176" s="15">
        <f>Sales[[#This Row],[Unadj Total Value]]/Sales[[#This Row],[Price]]</f>
        <v>1.0321212121212122</v>
      </c>
      <c r="CO176" s="15">
        <f>(Sales[[#This Row],[Unadj Total Value]]-Sales[[#This Row],[24Final]])/Sales[[#This Row],[24Final]]</f>
        <v>0.12446351931330472</v>
      </c>
      <c r="CP176">
        <f>VLOOKUP(Sales[[#This Row],[TNbhd]],Lookups!$M$2:$P$4,4,FALSE)</f>
        <v>0.97570000000000001</v>
      </c>
      <c r="CQ176">
        <f>VLOOKUP(Sales[[#This Row],[Qlty]],Lookups!$M$6:$P$20,4,FALSE)</f>
        <v>0.85299999999999998</v>
      </c>
      <c r="CR176">
        <f>VLOOKUP(Sales[[#This Row],[Cnd]],Lookups!$R$6:$U$15,4,FALSE)</f>
        <v>0.9677</v>
      </c>
      <c r="CS176">
        <f>VLOOKUP(Sales[[#This Row],[LivArea Range]],Lookups!$R$23:$U$39,4,FALSE)</f>
        <v>0.93440000000000001</v>
      </c>
      <c r="CT176">
        <f>VLOOKUP(Sales[[#This Row],[Decade]],Lookups!$M$23:$P$35,4,FALSE)</f>
        <v>0.95089999999999997</v>
      </c>
      <c r="CU176">
        <f>Sales[[#This Row],[Nbhd Adj]]*0.95</f>
        <v>0.92691499999999993</v>
      </c>
      <c r="CV176">
        <f>Sales[[#This Row],[Nbhd Adj]]*Sales[[#This Row],[Quality Adj]]*Sales[[#This Row],[Condition Adj]]*Sales[[#This Row],[Living Area Adj]]*Sales[[#This Row],[Decade Adj]]*0.95</f>
        <v>0.67982535737574656</v>
      </c>
      <c r="CW176">
        <f>ROUND(SUM(Sales[[#This Row],[Mdl Qlty]:[Mdl GarageArea]])+Sales[[#This Row],[Mdl Res Intercept]]*Sales[[#This Row],[Res Adj ]],-2)</f>
        <v>309100</v>
      </c>
      <c r="CX176">
        <f>ROUND(Sales[[#This Row],[25Det]]*Sales[[#This Row],[Det/Nbhd Adj]],-2)</f>
        <v>0</v>
      </c>
      <c r="CY176">
        <f>Sales[[#This Row],[Adjusted Res]]+Sales[[#This Row],[Adj Det ]]</f>
        <v>309100</v>
      </c>
      <c r="CZ176">
        <f>ROUND((Sales[[#This Row],[Mdl Land Intercept]]+Sales[[#This Row],[Mdl LnAcres]])*Sales[[#This Row],[Det/Nbhd Adj]],-2)</f>
        <v>42300</v>
      </c>
      <c r="DA176">
        <f>Sales[[#This Row],[Adjusted Impr Total]]+Sales[[#This Row],[Adjusted Land Total]]</f>
        <v>351400</v>
      </c>
      <c r="DB176">
        <f>IFERROR((Sales[[#This Row],[Adjusted Impr Total]]-Sales[[#This Row],[24Bldg]])/Sales[[#This Row],[24Bldg]],0)</f>
        <v>0.30587241233629064</v>
      </c>
      <c r="DC176">
        <f>(Sales[[#This Row],[Adjusted Land Total]]-Sales[[#This Row],[24Lnd]])/Sales[[#This Row],[24Lnd]]</f>
        <v>-0.36102719033232628</v>
      </c>
      <c r="DD176">
        <f>(Sales[[#This Row],[Adjusted Total]]-Sales[[#This Row],[24Final]])/Sales[[#This Row],[24Final]]</f>
        <v>0.16011885110597557</v>
      </c>
      <c r="DE176">
        <f>(Sales[[#This Row],[Adjusted Total]]+Sales[[#This Row],[Days Prior Total]])/Sales[[#This Row],[Price]]</f>
        <v>0.93719568346666671</v>
      </c>
    </row>
    <row r="177" spans="1:109" x14ac:dyDescent="0.3">
      <c r="A177">
        <v>2025</v>
      </c>
      <c r="B177">
        <v>18131634418</v>
      </c>
      <c r="C177">
        <v>-1.3093333199837622</v>
      </c>
      <c r="D177">
        <v>0.27</v>
      </c>
      <c r="E177">
        <v>11576</v>
      </c>
      <c r="F177">
        <v>5</v>
      </c>
      <c r="G177" t="s">
        <v>89</v>
      </c>
      <c r="H177">
        <v>3041</v>
      </c>
      <c r="I177" t="s">
        <v>302</v>
      </c>
      <c r="J177" t="s">
        <v>26</v>
      </c>
      <c r="K177">
        <v>11</v>
      </c>
      <c r="L177">
        <v>259</v>
      </c>
      <c r="M177" t="s">
        <v>172</v>
      </c>
      <c r="N177" t="s">
        <v>75</v>
      </c>
      <c r="O177" t="s">
        <v>231</v>
      </c>
      <c r="P177">
        <v>1955</v>
      </c>
      <c r="Q177">
        <v>1974</v>
      </c>
      <c r="R177">
        <v>70</v>
      </c>
      <c r="S177">
        <v>69</v>
      </c>
      <c r="T177">
        <v>50</v>
      </c>
      <c r="U177">
        <v>1</v>
      </c>
      <c r="V177">
        <v>2252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2252</v>
      </c>
      <c r="AC177">
        <v>2500</v>
      </c>
      <c r="AD177">
        <v>1</v>
      </c>
      <c r="AF177" t="s">
        <v>275</v>
      </c>
      <c r="AG177" t="s">
        <v>111</v>
      </c>
      <c r="AH177" t="s">
        <v>314</v>
      </c>
      <c r="AI177">
        <v>0</v>
      </c>
      <c r="AJ177">
        <v>3</v>
      </c>
      <c r="AK177">
        <v>0</v>
      </c>
      <c r="AL177">
        <v>1</v>
      </c>
      <c r="AM177">
        <v>0</v>
      </c>
      <c r="AN177">
        <v>12</v>
      </c>
      <c r="AO177">
        <v>406</v>
      </c>
      <c r="AP177">
        <v>0</v>
      </c>
      <c r="AQ177">
        <v>406</v>
      </c>
      <c r="AR177">
        <v>224</v>
      </c>
      <c r="AS177">
        <v>0</v>
      </c>
      <c r="AT177">
        <v>756</v>
      </c>
      <c r="AU177">
        <v>220</v>
      </c>
      <c r="AV177">
        <v>100</v>
      </c>
      <c r="AW177">
        <v>100</v>
      </c>
      <c r="AX177">
        <v>527057</v>
      </c>
      <c r="AY177">
        <v>384752</v>
      </c>
      <c r="AZ177">
        <v>832</v>
      </c>
      <c r="BA177">
        <v>365</v>
      </c>
      <c r="BB177">
        <v>365</v>
      </c>
      <c r="BC177">
        <v>102</v>
      </c>
      <c r="BD177" s="6">
        <v>44460</v>
      </c>
      <c r="BE177" t="s">
        <v>155</v>
      </c>
      <c r="BF177">
        <v>380000</v>
      </c>
      <c r="BG177">
        <v>380000</v>
      </c>
      <c r="BH177" t="s">
        <v>198</v>
      </c>
      <c r="BI177">
        <v>30</v>
      </c>
      <c r="BJ177" t="s">
        <v>51</v>
      </c>
      <c r="BK177" t="s">
        <v>314</v>
      </c>
      <c r="BL177">
        <v>508900</v>
      </c>
      <c r="BM177">
        <v>86200</v>
      </c>
      <c r="BN177">
        <v>422700</v>
      </c>
      <c r="BO177">
        <v>0</v>
      </c>
      <c r="BP177">
        <v>1.3392105263157894</v>
      </c>
      <c r="BQ177">
        <v>492937.01123064104</v>
      </c>
      <c r="BR177">
        <v>547414.14531504363</v>
      </c>
      <c r="BS177" s="7">
        <f>(BR177-BL177)/BL177</f>
        <v>7.5681165877468315E-2</v>
      </c>
      <c r="BT177" s="14">
        <f>(Sales[[#This Row],[DP1]]*Lookups!$B$51)+(Sales[[#This Row],[DP2]]*Lookups!$B$52)+(Sales[[#This Row],[DP3]]*Lookups!$B$53)</f>
        <v>-54477.14271</v>
      </c>
      <c r="BU177" s="14">
        <f>Lookups!$B$48*0.5</f>
        <v>87214.824999999997</v>
      </c>
      <c r="BV177" s="14">
        <f>Lookups!$B$48*0.5</f>
        <v>87214.824999999997</v>
      </c>
      <c r="BW177" s="14">
        <f>Lookups!$B$49*Sales[[#This Row],[LnAcres]]</f>
        <v>-32769.792695222328</v>
      </c>
      <c r="BX177" s="14">
        <f>VLOOKUP(Sales[[#This Row],[Qlty]],Lookups!$A$54:$E$67,2,FALSE)</f>
        <v>19189.450408000001</v>
      </c>
      <c r="BY177" s="14">
        <f>VLOOKUP(Sales[[#This Row],[Cnd]],Lookups!$A$68:$E$76,2,FALSE)</f>
        <v>0</v>
      </c>
      <c r="BZ177" s="14">
        <f>Sales[[#This Row],[Age]]*Lookups!$B$77</f>
        <v>12731.357669999999</v>
      </c>
      <c r="CA177" s="14">
        <f>Sales[[#This Row],[MainFn]]*Lookups!$B$78</f>
        <v>155575.94966800002</v>
      </c>
      <c r="CB177" s="14">
        <f>Sales[[#This Row],[UpprFn]]*Lookups!$B$79</f>
        <v>0</v>
      </c>
      <c r="CC177" s="14">
        <f>Sales[[#This Row],[AddFn]]*Lookups!$B$80</f>
        <v>0</v>
      </c>
      <c r="CD177" s="14">
        <f>Sales[[#This Row],[Bsmt]]*Lookups!$B$81</f>
        <v>0</v>
      </c>
      <c r="CE177" s="14">
        <f>Sales[[#This Row],[Fixtures]]*Lookups!$B$84</f>
        <v>121861.20000000001</v>
      </c>
      <c r="CF177" s="14">
        <f>Sales[[#This Row],[MsnryFP]]*Lookups!$B$82</f>
        <v>75820.869000000006</v>
      </c>
      <c r="CG177" s="14">
        <f>Sales[[#This Row],[PrefabFP]]*Lookups!$B$83</f>
        <v>0</v>
      </c>
      <c r="CH177" s="14">
        <f>Sales[[#This Row],[GarageArea]]*Lookups!$B$85</f>
        <v>20575.469782</v>
      </c>
      <c r="CI177" s="14">
        <f>SUM(Sales[[#This Row],[Days Prior Total]:[Mdl GarageArea]])</f>
        <v>492937.01112277771</v>
      </c>
      <c r="CJ177" s="14">
        <f>ROUND(Sales[[#This Row],[25Det]],-2)</f>
        <v>0</v>
      </c>
      <c r="CK177" s="14">
        <f>ROUND(SUM(Sales[[#This Row],[Mdl Qlty]:[Mdl GarageArea]])+Sales[[#This Row],[Mdl Res Intercept]]+Sales[[#This Row],[Days Prior Total]],-2)</f>
        <v>438500</v>
      </c>
      <c r="CL177" s="14">
        <f>ROUND(Sales[[#This Row],[Mdl Land Intercept]]+Sales[[#This Row],[Mdl LnAcres]],-2)</f>
        <v>54400</v>
      </c>
      <c r="CM177" s="14">
        <f>Sales[[#This Row],[Unadj Res Value]]+Sales[[#This Row],[Unadj Det Value]]+Sales[[#This Row],[Unadj Land Value]]</f>
        <v>492900</v>
      </c>
      <c r="CN177" s="15">
        <f>Sales[[#This Row],[Unadj Total Value]]/Sales[[#This Row],[Price]]</f>
        <v>1.2971052631578948</v>
      </c>
      <c r="CO177" s="15">
        <f>(Sales[[#This Row],[Unadj Total Value]]-Sales[[#This Row],[24Final]])/Sales[[#This Row],[24Final]]</f>
        <v>-3.1440361564157991E-2</v>
      </c>
      <c r="CP177">
        <f>VLOOKUP(Sales[[#This Row],[TNbhd]],Lookups!$M$2:$P$4,4,FALSE)</f>
        <v>0.97570000000000001</v>
      </c>
      <c r="CQ177">
        <f>VLOOKUP(Sales[[#This Row],[Qlty]],Lookups!$M$6:$P$20,4,FALSE)</f>
        <v>0.9819</v>
      </c>
      <c r="CR177">
        <f>VLOOKUP(Sales[[#This Row],[Cnd]],Lookups!$R$6:$U$15,4,FALSE)</f>
        <v>0.9677</v>
      </c>
      <c r="CS177">
        <f>VLOOKUP(Sales[[#This Row],[LivArea Range]],Lookups!$R$23:$U$39,4,FALSE)</f>
        <v>0.93440000000000001</v>
      </c>
      <c r="CT177">
        <f>VLOOKUP(Sales[[#This Row],[Decade]],Lookups!$M$23:$P$35,4,FALSE)</f>
        <v>0.95089999999999997</v>
      </c>
      <c r="CU177">
        <f>Sales[[#This Row],[Nbhd Adj]]*0.95</f>
        <v>0.92691499999999993</v>
      </c>
      <c r="CV177">
        <f>Sales[[#This Row],[Nbhd Adj]]*Sales[[#This Row],[Quality Adj]]*Sales[[#This Row],[Condition Adj]]*Sales[[#This Row],[Living Area Adj]]*Sales[[#This Row],[Decade Adj]]*0.95</f>
        <v>0.78255629356066303</v>
      </c>
      <c r="CW177">
        <f>ROUND(SUM(Sales[[#This Row],[Mdl Qlty]:[Mdl GarageArea]])+Sales[[#This Row],[Mdl Res Intercept]]*Sales[[#This Row],[Res Adj ]],-2)</f>
        <v>474000</v>
      </c>
      <c r="CX177">
        <f>ROUND(Sales[[#This Row],[25Det]]*Sales[[#This Row],[Det/Nbhd Adj]],-2)</f>
        <v>0</v>
      </c>
      <c r="CY177">
        <f>Sales[[#This Row],[Adjusted Res]]+Sales[[#This Row],[Adj Det ]]</f>
        <v>474000</v>
      </c>
      <c r="CZ177">
        <f>ROUND((Sales[[#This Row],[Mdl Land Intercept]]+Sales[[#This Row],[Mdl LnAcres]])*Sales[[#This Row],[Det/Nbhd Adj]],-2)</f>
        <v>50500</v>
      </c>
      <c r="DA177">
        <f>Sales[[#This Row],[Adjusted Impr Total]]+Sales[[#This Row],[Adjusted Land Total]]</f>
        <v>524500</v>
      </c>
      <c r="DB177">
        <f>IFERROR((Sales[[#This Row],[Adjusted Impr Total]]-Sales[[#This Row],[24Bldg]])/Sales[[#This Row],[24Bldg]],0)</f>
        <v>0.12136266855926189</v>
      </c>
      <c r="DC177">
        <f>(Sales[[#This Row],[Adjusted Land Total]]-Sales[[#This Row],[24Lnd]])/Sales[[#This Row],[24Lnd]]</f>
        <v>-0.41415313225058004</v>
      </c>
      <c r="DD177">
        <f>(Sales[[#This Row],[Adjusted Total]]-Sales[[#This Row],[24Final]])/Sales[[#This Row],[24Final]]</f>
        <v>3.0654352525054038E-2</v>
      </c>
      <c r="DE177">
        <f>(Sales[[#This Row],[Adjusted Total]]+Sales[[#This Row],[Days Prior Total]])/Sales[[#This Row],[Price]]</f>
        <v>1.2369022560263159</v>
      </c>
    </row>
    <row r="178" spans="1:109" x14ac:dyDescent="0.3">
      <c r="A178">
        <v>2025</v>
      </c>
      <c r="B178">
        <v>18131643424</v>
      </c>
      <c r="C178">
        <v>-1.1394342831883648</v>
      </c>
      <c r="D178">
        <v>0.32</v>
      </c>
      <c r="E178">
        <v>13750</v>
      </c>
      <c r="F178">
        <v>5</v>
      </c>
      <c r="G178" t="s">
        <v>89</v>
      </c>
      <c r="H178">
        <v>3041</v>
      </c>
      <c r="I178" t="s">
        <v>302</v>
      </c>
      <c r="J178" t="s">
        <v>26</v>
      </c>
      <c r="K178">
        <v>11</v>
      </c>
      <c r="L178">
        <v>259</v>
      </c>
      <c r="M178" t="s">
        <v>172</v>
      </c>
      <c r="N178" t="s">
        <v>111</v>
      </c>
      <c r="O178" t="s">
        <v>231</v>
      </c>
      <c r="P178">
        <v>1954</v>
      </c>
      <c r="Q178">
        <v>1974</v>
      </c>
      <c r="R178">
        <v>70</v>
      </c>
      <c r="S178">
        <v>70</v>
      </c>
      <c r="T178">
        <v>50</v>
      </c>
      <c r="U178">
        <v>1</v>
      </c>
      <c r="V178">
        <v>2065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2065</v>
      </c>
      <c r="AC178">
        <v>2500</v>
      </c>
      <c r="AD178">
        <v>1</v>
      </c>
      <c r="AE178" t="s">
        <v>5</v>
      </c>
      <c r="AF178" t="s">
        <v>153</v>
      </c>
      <c r="AG178" t="s">
        <v>274</v>
      </c>
      <c r="AI178">
        <v>0</v>
      </c>
      <c r="AJ178">
        <v>0</v>
      </c>
      <c r="AK178">
        <v>1</v>
      </c>
      <c r="AL178">
        <v>1</v>
      </c>
      <c r="AM178">
        <v>0</v>
      </c>
      <c r="AN178">
        <v>9</v>
      </c>
      <c r="AO178">
        <v>624</v>
      </c>
      <c r="AP178">
        <v>0</v>
      </c>
      <c r="AQ178">
        <v>624</v>
      </c>
      <c r="AR178">
        <v>0</v>
      </c>
      <c r="AS178">
        <v>0</v>
      </c>
      <c r="AT178">
        <v>180</v>
      </c>
      <c r="AU178">
        <v>372</v>
      </c>
      <c r="AV178">
        <v>100</v>
      </c>
      <c r="AW178">
        <v>100</v>
      </c>
      <c r="AX178">
        <v>408922</v>
      </c>
      <c r="AY178">
        <v>290335</v>
      </c>
      <c r="AZ178">
        <v>1081</v>
      </c>
      <c r="BA178">
        <v>365</v>
      </c>
      <c r="BB178">
        <v>365</v>
      </c>
      <c r="BC178">
        <v>351</v>
      </c>
      <c r="BD178" s="6">
        <v>44211</v>
      </c>
      <c r="BE178" t="s">
        <v>113</v>
      </c>
      <c r="BF178">
        <v>310000</v>
      </c>
      <c r="BG178">
        <v>310000</v>
      </c>
      <c r="BH178" t="s">
        <v>198</v>
      </c>
      <c r="BI178">
        <v>30</v>
      </c>
      <c r="BJ178" t="s">
        <v>51</v>
      </c>
      <c r="BK178" t="s">
        <v>314</v>
      </c>
      <c r="BL178">
        <v>388400</v>
      </c>
      <c r="BM178">
        <v>95800</v>
      </c>
      <c r="BN178">
        <v>292600</v>
      </c>
      <c r="BO178">
        <v>0</v>
      </c>
      <c r="BP178">
        <v>1.2529032258064516</v>
      </c>
      <c r="BQ178">
        <v>320950.81904229033</v>
      </c>
      <c r="BR178">
        <v>452265.87913413648</v>
      </c>
      <c r="BS178" s="7">
        <f>(BR178-BL178)/BL178</f>
        <v>0.16443326244628342</v>
      </c>
      <c r="BT178" s="14">
        <f>(Sales[[#This Row],[DP1]]*Lookups!$B$51)+(Sales[[#This Row],[DP2]]*Lookups!$B$52)+(Sales[[#This Row],[DP3]]*Lookups!$B$53)</f>
        <v>-131315.05671</v>
      </c>
      <c r="BU178" s="14">
        <f>Lookups!$B$48*0.5</f>
        <v>87214.824999999997</v>
      </c>
      <c r="BV178" s="14">
        <f>Lookups!$B$48*0.5</f>
        <v>87214.824999999997</v>
      </c>
      <c r="BW178" s="14">
        <f>Lookups!$B$49*Sales[[#This Row],[LnAcres]]</f>
        <v>-28517.585766758784</v>
      </c>
      <c r="BX178" s="14">
        <f>VLOOKUP(Sales[[#This Row],[Qlty]],Lookups!$A$54:$E$67,2,FALSE)</f>
        <v>-14329.694740000001</v>
      </c>
      <c r="BY178" s="14">
        <f>VLOOKUP(Sales[[#This Row],[Cnd]],Lookups!$A$68:$E$76,2,FALSE)</f>
        <v>0</v>
      </c>
      <c r="BZ178" s="14">
        <f>Sales[[#This Row],[Age]]*Lookups!$B$77</f>
        <v>12915.8701</v>
      </c>
      <c r="CA178" s="14">
        <f>Sales[[#This Row],[MainFn]]*Lookups!$B$78</f>
        <v>142657.34283500002</v>
      </c>
      <c r="CB178" s="14">
        <f>Sales[[#This Row],[UpprFn]]*Lookups!$B$79</f>
        <v>0</v>
      </c>
      <c r="CC178" s="14">
        <f>Sales[[#This Row],[AddFn]]*Lookups!$B$80</f>
        <v>0</v>
      </c>
      <c r="CD178" s="14">
        <f>Sales[[#This Row],[Bsmt]]*Lookups!$B$81</f>
        <v>0</v>
      </c>
      <c r="CE178" s="14">
        <f>Sales[[#This Row],[Fixtures]]*Lookups!$B$84</f>
        <v>91395.900000000009</v>
      </c>
      <c r="CF178" s="14">
        <f>Sales[[#This Row],[MsnryFP]]*Lookups!$B$82</f>
        <v>0</v>
      </c>
      <c r="CG178" s="14">
        <f>Sales[[#This Row],[PrefabFP]]*Lookups!$B$83</f>
        <v>42091.021999999997</v>
      </c>
      <c r="CH178" s="14">
        <f>Sales[[#This Row],[GarageArea]]*Lookups!$B$85</f>
        <v>31623.382128000001</v>
      </c>
      <c r="CI178" s="14">
        <f>SUM(Sales[[#This Row],[Days Prior Total]:[Mdl GarageArea]])</f>
        <v>320950.82984624128</v>
      </c>
      <c r="CJ178" s="14">
        <f>ROUND(Sales[[#This Row],[25Det]],-2)</f>
        <v>0</v>
      </c>
      <c r="CK178" s="14">
        <f>ROUND(SUM(Sales[[#This Row],[Mdl Qlty]:[Mdl GarageArea]])+Sales[[#This Row],[Mdl Res Intercept]]+Sales[[#This Row],[Days Prior Total]],-2)</f>
        <v>262300</v>
      </c>
      <c r="CL178" s="14">
        <f>ROUND(Sales[[#This Row],[Mdl Land Intercept]]+Sales[[#This Row],[Mdl LnAcres]],-2)</f>
        <v>58700</v>
      </c>
      <c r="CM178" s="14">
        <f>Sales[[#This Row],[Unadj Res Value]]+Sales[[#This Row],[Unadj Det Value]]+Sales[[#This Row],[Unadj Land Value]]</f>
        <v>321000</v>
      </c>
      <c r="CN178" s="15">
        <f>Sales[[#This Row],[Unadj Total Value]]/Sales[[#This Row],[Price]]</f>
        <v>1.0354838709677419</v>
      </c>
      <c r="CO178" s="15">
        <f>(Sales[[#This Row],[Unadj Total Value]]-Sales[[#This Row],[24Final]])/Sales[[#This Row],[24Final]]</f>
        <v>-0.17353244078269825</v>
      </c>
      <c r="CP178">
        <f>VLOOKUP(Sales[[#This Row],[TNbhd]],Lookups!$M$2:$P$4,4,FALSE)</f>
        <v>0.97570000000000001</v>
      </c>
      <c r="CQ178">
        <f>VLOOKUP(Sales[[#This Row],[Qlty]],Lookups!$M$6:$P$20,4,FALSE)</f>
        <v>0.98809999999999998</v>
      </c>
      <c r="CR178">
        <f>VLOOKUP(Sales[[#This Row],[Cnd]],Lookups!$R$6:$U$15,4,FALSE)</f>
        <v>0.9677</v>
      </c>
      <c r="CS178">
        <f>VLOOKUP(Sales[[#This Row],[LivArea Range]],Lookups!$R$23:$U$39,4,FALSE)</f>
        <v>0.93440000000000001</v>
      </c>
      <c r="CT178">
        <f>VLOOKUP(Sales[[#This Row],[Decade]],Lookups!$M$23:$P$35,4,FALSE)</f>
        <v>0.95089999999999997</v>
      </c>
      <c r="CU178">
        <f>Sales[[#This Row],[Nbhd Adj]]*0.95</f>
        <v>0.92691499999999993</v>
      </c>
      <c r="CV178">
        <f>Sales[[#This Row],[Nbhd Adj]]*Sales[[#This Row],[Quality Adj]]*Sales[[#This Row],[Condition Adj]]*Sales[[#This Row],[Living Area Adj]]*Sales[[#This Row],[Decade Adj]]*0.95</f>
        <v>0.78749757986280788</v>
      </c>
      <c r="CW178">
        <f>ROUND(SUM(Sales[[#This Row],[Mdl Qlty]:[Mdl GarageArea]])+Sales[[#This Row],[Mdl Res Intercept]]*Sales[[#This Row],[Res Adj ]],-2)</f>
        <v>375000</v>
      </c>
      <c r="CX178">
        <f>ROUND(Sales[[#This Row],[25Det]]*Sales[[#This Row],[Det/Nbhd Adj]],-2)</f>
        <v>0</v>
      </c>
      <c r="CY178">
        <f>Sales[[#This Row],[Adjusted Res]]+Sales[[#This Row],[Adj Det ]]</f>
        <v>375000</v>
      </c>
      <c r="CZ178">
        <f>ROUND((Sales[[#This Row],[Mdl Land Intercept]]+Sales[[#This Row],[Mdl LnAcres]])*Sales[[#This Row],[Det/Nbhd Adj]],-2)</f>
        <v>54400</v>
      </c>
      <c r="DA178">
        <f>Sales[[#This Row],[Adjusted Impr Total]]+Sales[[#This Row],[Adjusted Land Total]]</f>
        <v>429400</v>
      </c>
      <c r="DB178">
        <f>IFERROR((Sales[[#This Row],[Adjusted Impr Total]]-Sales[[#This Row],[24Bldg]])/Sales[[#This Row],[24Bldg]],0)</f>
        <v>0.28161312371838687</v>
      </c>
      <c r="DC178">
        <f>(Sales[[#This Row],[Adjusted Land Total]]-Sales[[#This Row],[24Lnd]])/Sales[[#This Row],[24Lnd]]</f>
        <v>-0.43215031315240082</v>
      </c>
      <c r="DD178">
        <f>(Sales[[#This Row],[Adjusted Total]]-Sales[[#This Row],[24Final]])/Sales[[#This Row],[24Final]]</f>
        <v>0.10556127703398559</v>
      </c>
      <c r="DE178">
        <f>(Sales[[#This Row],[Adjusted Total]]+Sales[[#This Row],[Days Prior Total]])/Sales[[#This Row],[Price]]</f>
        <v>0.96156433319354828</v>
      </c>
    </row>
    <row r="179" spans="1:109" x14ac:dyDescent="0.3">
      <c r="A179">
        <v>2025</v>
      </c>
      <c r="B179">
        <v>18131634443</v>
      </c>
      <c r="C179">
        <v>-0.40047756659712525</v>
      </c>
      <c r="D179">
        <v>0.67</v>
      </c>
      <c r="E179">
        <v>29246</v>
      </c>
      <c r="F179">
        <v>5</v>
      </c>
      <c r="G179" t="s">
        <v>89</v>
      </c>
      <c r="H179">
        <v>3041</v>
      </c>
      <c r="I179" t="s">
        <v>302</v>
      </c>
      <c r="J179" t="s">
        <v>26</v>
      </c>
      <c r="K179">
        <v>11</v>
      </c>
      <c r="L179">
        <v>259</v>
      </c>
      <c r="M179" t="s">
        <v>171</v>
      </c>
      <c r="N179" t="s">
        <v>75</v>
      </c>
      <c r="O179" t="s">
        <v>231</v>
      </c>
      <c r="P179">
        <v>1954</v>
      </c>
      <c r="Q179">
        <v>1984</v>
      </c>
      <c r="R179">
        <v>70</v>
      </c>
      <c r="S179">
        <v>70</v>
      </c>
      <c r="T179">
        <v>40</v>
      </c>
      <c r="U179">
        <v>1</v>
      </c>
      <c r="V179">
        <v>2479</v>
      </c>
      <c r="W179">
        <v>0</v>
      </c>
      <c r="X179">
        <v>0</v>
      </c>
      <c r="Y179">
        <v>2480</v>
      </c>
      <c r="Z179">
        <v>2479</v>
      </c>
      <c r="AA179">
        <v>1</v>
      </c>
      <c r="AB179">
        <v>4958</v>
      </c>
      <c r="AC179">
        <v>5000</v>
      </c>
      <c r="AD179">
        <v>2</v>
      </c>
      <c r="AF179" t="s">
        <v>153</v>
      </c>
      <c r="AG179" t="s">
        <v>111</v>
      </c>
      <c r="AI179">
        <v>0</v>
      </c>
      <c r="AJ179">
        <v>2</v>
      </c>
      <c r="AK179">
        <v>0</v>
      </c>
      <c r="AL179">
        <v>2</v>
      </c>
      <c r="AM179">
        <v>0</v>
      </c>
      <c r="AN179">
        <v>12</v>
      </c>
      <c r="AO179">
        <v>1028</v>
      </c>
      <c r="AP179">
        <v>0</v>
      </c>
      <c r="AQ179">
        <v>1028</v>
      </c>
      <c r="AR179">
        <v>322</v>
      </c>
      <c r="AS179">
        <v>756</v>
      </c>
      <c r="AT179">
        <v>202</v>
      </c>
      <c r="AU179">
        <v>0</v>
      </c>
      <c r="AV179">
        <v>100</v>
      </c>
      <c r="AW179">
        <v>100</v>
      </c>
      <c r="AX179">
        <v>829387</v>
      </c>
      <c r="AY179">
        <v>680097</v>
      </c>
      <c r="AZ179">
        <v>805</v>
      </c>
      <c r="BA179">
        <v>365</v>
      </c>
      <c r="BB179">
        <v>365</v>
      </c>
      <c r="BC179">
        <v>75</v>
      </c>
      <c r="BD179" s="6">
        <v>44487</v>
      </c>
      <c r="BE179" t="s">
        <v>91</v>
      </c>
      <c r="BF179">
        <v>700000</v>
      </c>
      <c r="BG179">
        <v>673029</v>
      </c>
      <c r="BH179" t="s">
        <v>198</v>
      </c>
      <c r="BI179">
        <v>30</v>
      </c>
      <c r="BJ179" t="s">
        <v>51</v>
      </c>
      <c r="BK179" t="s">
        <v>314</v>
      </c>
      <c r="BL179">
        <v>662700</v>
      </c>
      <c r="BM179">
        <v>137800</v>
      </c>
      <c r="BN179">
        <v>524900</v>
      </c>
      <c r="BO179">
        <v>26971</v>
      </c>
      <c r="BP179">
        <v>0.94671428571428573</v>
      </c>
      <c r="BQ179">
        <v>617079.8689110257</v>
      </c>
      <c r="BR179">
        <v>663225.17969341623</v>
      </c>
      <c r="BS179" s="7">
        <f>(BR179-BL179)/BL179</f>
        <v>7.9248482483209096E-4</v>
      </c>
      <c r="BT179" s="14">
        <f>(Sales[[#This Row],[DP1]]*Lookups!$B$51)+(Sales[[#This Row],[DP2]]*Lookups!$B$52)+(Sales[[#This Row],[DP3]]*Lookups!$B$53)</f>
        <v>-46145.32071</v>
      </c>
      <c r="BU179" s="14">
        <f>Lookups!$B$48*0.5</f>
        <v>87214.824999999997</v>
      </c>
      <c r="BV179" s="14">
        <f>Lookups!$B$48*0.5</f>
        <v>87214.824999999997</v>
      </c>
      <c r="BW179" s="14">
        <f>Lookups!$B$49*Sales[[#This Row],[LnAcres]]</f>
        <v>-10023.090863247595</v>
      </c>
      <c r="BX179" s="14">
        <f>VLOOKUP(Sales[[#This Row],[Qlty]],Lookups!$A$54:$E$67,2,FALSE)</f>
        <v>19189.450408000001</v>
      </c>
      <c r="BY179" s="14">
        <f>VLOOKUP(Sales[[#This Row],[Cnd]],Lookups!$A$68:$E$76,2,FALSE)</f>
        <v>0</v>
      </c>
      <c r="BZ179" s="14">
        <f>Sales[[#This Row],[Age]]*Lookups!$B$77</f>
        <v>12915.8701</v>
      </c>
      <c r="CA179" s="14">
        <f>Sales[[#This Row],[MainFn]]*Lookups!$B$78</f>
        <v>171257.89486100001</v>
      </c>
      <c r="CB179" s="14">
        <f>Sales[[#This Row],[UpprFn]]*Lookups!$B$79</f>
        <v>0</v>
      </c>
      <c r="CC179" s="14">
        <f>Sales[[#This Row],[AddFn]]*Lookups!$B$80</f>
        <v>0</v>
      </c>
      <c r="CD179" s="14">
        <f>Sales[[#This Row],[Bsmt]]*Lookups!$B$81</f>
        <v>70949.471839999998</v>
      </c>
      <c r="CE179" s="14">
        <f>Sales[[#This Row],[Fixtures]]*Lookups!$B$84</f>
        <v>121861.20000000001</v>
      </c>
      <c r="CF179" s="14">
        <f>Sales[[#This Row],[MsnryFP]]*Lookups!$B$82</f>
        <v>50547.245999999999</v>
      </c>
      <c r="CG179" s="14">
        <f>Sales[[#This Row],[PrefabFP]]*Lookups!$B$83</f>
        <v>0</v>
      </c>
      <c r="CH179" s="14">
        <f>Sales[[#This Row],[GarageArea]]*Lookups!$B$85</f>
        <v>52097.494916000003</v>
      </c>
      <c r="CI179" s="14">
        <f>SUM(Sales[[#This Row],[Days Prior Total]:[Mdl GarageArea]])</f>
        <v>617079.86655175244</v>
      </c>
      <c r="CJ179" s="14">
        <f>ROUND(Sales[[#This Row],[25Det]],-2)</f>
        <v>27000</v>
      </c>
      <c r="CK179" s="14">
        <f>ROUND(SUM(Sales[[#This Row],[Mdl Qlty]:[Mdl GarageArea]])+Sales[[#This Row],[Mdl Res Intercept]]+Sales[[#This Row],[Days Prior Total]],-2)</f>
        <v>539900</v>
      </c>
      <c r="CL179" s="14">
        <f>ROUND(Sales[[#This Row],[Mdl Land Intercept]]+Sales[[#This Row],[Mdl LnAcres]],-2)</f>
        <v>77200</v>
      </c>
      <c r="CM179" s="14">
        <f>Sales[[#This Row],[Unadj Res Value]]+Sales[[#This Row],[Unadj Det Value]]+Sales[[#This Row],[Unadj Land Value]]</f>
        <v>644100</v>
      </c>
      <c r="CN179" s="15">
        <f>Sales[[#This Row],[Unadj Total Value]]/Sales[[#This Row],[Price]]</f>
        <v>0.92014285714285715</v>
      </c>
      <c r="CO179" s="15">
        <f>(Sales[[#This Row],[Unadj Total Value]]-Sales[[#This Row],[24Final]])/Sales[[#This Row],[24Final]]</f>
        <v>-2.806699864191942E-2</v>
      </c>
      <c r="CP179">
        <f>VLOOKUP(Sales[[#This Row],[TNbhd]],Lookups!$M$2:$P$4,4,FALSE)</f>
        <v>0.97570000000000001</v>
      </c>
      <c r="CQ179">
        <f>VLOOKUP(Sales[[#This Row],[Qlty]],Lookups!$M$6:$P$20,4,FALSE)</f>
        <v>0.9819</v>
      </c>
      <c r="CR179">
        <f>VLOOKUP(Sales[[#This Row],[Cnd]],Lookups!$R$6:$U$15,4,FALSE)</f>
        <v>0.9677</v>
      </c>
      <c r="CS179">
        <f>VLOOKUP(Sales[[#This Row],[LivArea Range]],Lookups!$R$23:$U$39,4,FALSE)</f>
        <v>1.0048999999999999</v>
      </c>
      <c r="CT179">
        <f>VLOOKUP(Sales[[#This Row],[Decade]],Lookups!$M$23:$P$35,4,FALSE)</f>
        <v>0.95089999999999997</v>
      </c>
      <c r="CU179">
        <f>Sales[[#This Row],[Nbhd Adj]]*0.95</f>
        <v>0.92691499999999993</v>
      </c>
      <c r="CV179">
        <f>Sales[[#This Row],[Nbhd Adj]]*Sales[[#This Row],[Quality Adj]]*Sales[[#This Row],[Condition Adj]]*Sales[[#This Row],[Living Area Adj]]*Sales[[#This Row],[Decade Adj]]*0.95</f>
        <v>0.84159976391171898</v>
      </c>
      <c r="CW179">
        <f>ROUND(SUM(Sales[[#This Row],[Mdl Qlty]:[Mdl GarageArea]])+Sales[[#This Row],[Mdl Res Intercept]]*Sales[[#This Row],[Res Adj ]],-2)</f>
        <v>572200</v>
      </c>
      <c r="CX179">
        <f>ROUND(Sales[[#This Row],[25Det]]*Sales[[#This Row],[Det/Nbhd Adj]],-2)</f>
        <v>25000</v>
      </c>
      <c r="CY179">
        <f>Sales[[#This Row],[Adjusted Res]]+Sales[[#This Row],[Adj Det ]]</f>
        <v>597200</v>
      </c>
      <c r="CZ179">
        <f>ROUND((Sales[[#This Row],[Mdl Land Intercept]]+Sales[[#This Row],[Mdl LnAcres]])*Sales[[#This Row],[Det/Nbhd Adj]],-2)</f>
        <v>71600</v>
      </c>
      <c r="DA179">
        <f>Sales[[#This Row],[Adjusted Impr Total]]+Sales[[#This Row],[Adjusted Land Total]]</f>
        <v>668800</v>
      </c>
      <c r="DB179">
        <f>IFERROR((Sales[[#This Row],[Adjusted Impr Total]]-Sales[[#This Row],[24Bldg]])/Sales[[#This Row],[24Bldg]],0)</f>
        <v>0.13774052200419126</v>
      </c>
      <c r="DC179">
        <f>(Sales[[#This Row],[Adjusted Land Total]]-Sales[[#This Row],[24Lnd]])/Sales[[#This Row],[24Lnd]]</f>
        <v>-0.48040638606676345</v>
      </c>
      <c r="DD179">
        <f>(Sales[[#This Row],[Adjusted Total]]-Sales[[#This Row],[24Final]])/Sales[[#This Row],[24Final]]</f>
        <v>9.2047683718122827E-3</v>
      </c>
      <c r="DE179">
        <f>(Sales[[#This Row],[Adjusted Total]]+Sales[[#This Row],[Days Prior Total]])/Sales[[#This Row],[Price]]</f>
        <v>0.88950668470000005</v>
      </c>
    </row>
    <row r="180" spans="1:109" x14ac:dyDescent="0.3">
      <c r="A180">
        <v>2025</v>
      </c>
      <c r="B180">
        <v>18131533476</v>
      </c>
      <c r="C180">
        <v>-1.1086626245216111</v>
      </c>
      <c r="D180">
        <v>0.33</v>
      </c>
      <c r="E180">
        <v>14471</v>
      </c>
      <c r="F180">
        <v>5</v>
      </c>
      <c r="G180" t="s">
        <v>89</v>
      </c>
      <c r="H180">
        <v>3042</v>
      </c>
      <c r="I180" t="s">
        <v>302</v>
      </c>
      <c r="J180" t="s">
        <v>26</v>
      </c>
      <c r="K180">
        <v>11</v>
      </c>
      <c r="L180">
        <v>259</v>
      </c>
      <c r="M180" t="s">
        <v>171</v>
      </c>
      <c r="N180" t="s">
        <v>111</v>
      </c>
      <c r="O180" t="s">
        <v>231</v>
      </c>
      <c r="P180">
        <v>1953</v>
      </c>
      <c r="Q180">
        <v>1973</v>
      </c>
      <c r="R180">
        <v>80</v>
      </c>
      <c r="S180">
        <v>71</v>
      </c>
      <c r="T180">
        <v>51</v>
      </c>
      <c r="U180">
        <v>1</v>
      </c>
      <c r="V180">
        <v>1852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1852</v>
      </c>
      <c r="AC180">
        <v>2000</v>
      </c>
      <c r="AD180">
        <v>0</v>
      </c>
      <c r="AF180" t="s">
        <v>275</v>
      </c>
      <c r="AG180" t="s">
        <v>111</v>
      </c>
      <c r="AH180" t="s">
        <v>314</v>
      </c>
      <c r="AI180">
        <v>0</v>
      </c>
      <c r="AJ180">
        <v>2</v>
      </c>
      <c r="AK180">
        <v>0</v>
      </c>
      <c r="AL180">
        <v>1</v>
      </c>
      <c r="AM180">
        <v>0</v>
      </c>
      <c r="AN180">
        <v>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132</v>
      </c>
      <c r="AU180">
        <v>132</v>
      </c>
      <c r="AV180">
        <v>100</v>
      </c>
      <c r="AW180">
        <v>100</v>
      </c>
      <c r="AX180">
        <v>358025</v>
      </c>
      <c r="AY180">
        <v>250618</v>
      </c>
      <c r="AZ180">
        <v>804</v>
      </c>
      <c r="BA180">
        <v>365</v>
      </c>
      <c r="BB180">
        <v>365</v>
      </c>
      <c r="BC180">
        <v>74</v>
      </c>
      <c r="BD180" s="6">
        <v>44488</v>
      </c>
      <c r="BE180" t="s">
        <v>90</v>
      </c>
      <c r="BF180">
        <v>385000</v>
      </c>
      <c r="BG180">
        <v>376717</v>
      </c>
      <c r="BH180" t="s">
        <v>198</v>
      </c>
      <c r="BI180">
        <v>30</v>
      </c>
      <c r="BJ180" t="s">
        <v>51</v>
      </c>
      <c r="BK180" t="s">
        <v>314</v>
      </c>
      <c r="BL180">
        <v>402900</v>
      </c>
      <c r="BM180">
        <v>97600</v>
      </c>
      <c r="BN180">
        <v>305300</v>
      </c>
      <c r="BO180">
        <v>8283</v>
      </c>
      <c r="BP180">
        <v>1.0464935064935066</v>
      </c>
      <c r="BQ180">
        <v>369501.88067008572</v>
      </c>
      <c r="BR180">
        <v>415338.6054042537</v>
      </c>
      <c r="BS180" s="7">
        <f>(BR180-BL180)/BL180</f>
        <v>3.0872686533268055E-2</v>
      </c>
      <c r="BT180" s="14">
        <f>(Sales[[#This Row],[DP1]]*Lookups!$B$51)+(Sales[[#This Row],[DP2]]*Lookups!$B$52)+(Sales[[#This Row],[DP3]]*Lookups!$B$53)</f>
        <v>-45836.734710000004</v>
      </c>
      <c r="BU180" s="14">
        <f>Lookups!$B$48*0.5</f>
        <v>87214.824999999997</v>
      </c>
      <c r="BV180" s="14">
        <f>Lookups!$B$48*0.5</f>
        <v>87214.824999999997</v>
      </c>
      <c r="BW180" s="14">
        <f>Lookups!$B$49*Sales[[#This Row],[LnAcres]]</f>
        <v>-27747.437432482708</v>
      </c>
      <c r="BX180" s="14">
        <f>VLOOKUP(Sales[[#This Row],[Qlty]],Lookups!$A$54:$E$67,2,FALSE)</f>
        <v>-14329.694740000001</v>
      </c>
      <c r="BY180" s="14">
        <f>VLOOKUP(Sales[[#This Row],[Cnd]],Lookups!$A$68:$E$76,2,FALSE)</f>
        <v>0</v>
      </c>
      <c r="BZ180" s="14">
        <f>Sales[[#This Row],[Age]]*Lookups!$B$77</f>
        <v>13100.382529999999</v>
      </c>
      <c r="CA180" s="14">
        <f>Sales[[#This Row],[MainFn]]*Lookups!$B$78</f>
        <v>127942.56606800001</v>
      </c>
      <c r="CB180" s="14">
        <f>Sales[[#This Row],[UpprFn]]*Lookups!$B$79</f>
        <v>0</v>
      </c>
      <c r="CC180" s="14">
        <f>Sales[[#This Row],[AddFn]]*Lookups!$B$80</f>
        <v>0</v>
      </c>
      <c r="CD180" s="14">
        <f>Sales[[#This Row],[Bsmt]]*Lookups!$B$81</f>
        <v>0</v>
      </c>
      <c r="CE180" s="14">
        <f>Sales[[#This Row],[Fixtures]]*Lookups!$B$84</f>
        <v>91395.900000000009</v>
      </c>
      <c r="CF180" s="14">
        <f>Sales[[#This Row],[MsnryFP]]*Lookups!$B$82</f>
        <v>50547.245999999999</v>
      </c>
      <c r="CG180" s="14">
        <f>Sales[[#This Row],[PrefabFP]]*Lookups!$B$83</f>
        <v>0</v>
      </c>
      <c r="CH180" s="14">
        <f>Sales[[#This Row],[GarageArea]]*Lookups!$B$85</f>
        <v>0</v>
      </c>
      <c r="CI180" s="14">
        <f>SUM(Sales[[#This Row],[Days Prior Total]:[Mdl GarageArea]])</f>
        <v>369501.8777155173</v>
      </c>
      <c r="CJ180" s="14">
        <f>ROUND(Sales[[#This Row],[25Det]],-2)</f>
        <v>8300</v>
      </c>
      <c r="CK180" s="14">
        <f>ROUND(SUM(Sales[[#This Row],[Mdl Qlty]:[Mdl GarageArea]])+Sales[[#This Row],[Mdl Res Intercept]]+Sales[[#This Row],[Days Prior Total]],-2)</f>
        <v>310000</v>
      </c>
      <c r="CL180" s="14">
        <f>ROUND(Sales[[#This Row],[Mdl Land Intercept]]+Sales[[#This Row],[Mdl LnAcres]],-2)</f>
        <v>59500</v>
      </c>
      <c r="CM180" s="14">
        <f>Sales[[#This Row],[Unadj Res Value]]+Sales[[#This Row],[Unadj Det Value]]+Sales[[#This Row],[Unadj Land Value]]</f>
        <v>377800</v>
      </c>
      <c r="CN180" s="15">
        <f>Sales[[#This Row],[Unadj Total Value]]/Sales[[#This Row],[Price]]</f>
        <v>0.98129870129870134</v>
      </c>
      <c r="CO180" s="15">
        <f>(Sales[[#This Row],[Unadj Total Value]]-Sales[[#This Row],[24Final]])/Sales[[#This Row],[24Final]]</f>
        <v>-6.2298337056341524E-2</v>
      </c>
      <c r="CP180">
        <f>VLOOKUP(Sales[[#This Row],[TNbhd]],Lookups!$M$2:$P$4,4,FALSE)</f>
        <v>0.97570000000000001</v>
      </c>
      <c r="CQ180">
        <f>VLOOKUP(Sales[[#This Row],[Qlty]],Lookups!$M$6:$P$20,4,FALSE)</f>
        <v>0.98809999999999998</v>
      </c>
      <c r="CR180">
        <f>VLOOKUP(Sales[[#This Row],[Cnd]],Lookups!$R$6:$U$15,4,FALSE)</f>
        <v>0.9677</v>
      </c>
      <c r="CS180">
        <f>VLOOKUP(Sales[[#This Row],[LivArea Range]],Lookups!$R$23:$U$39,4,FALSE)</f>
        <v>0.99099999999999999</v>
      </c>
      <c r="CT180">
        <f>VLOOKUP(Sales[[#This Row],[Decade]],Lookups!$M$23:$P$35,4,FALSE)</f>
        <v>1.0236000000000001</v>
      </c>
      <c r="CU180">
        <f>Sales[[#This Row],[Nbhd Adj]]*0.95</f>
        <v>0.92691499999999993</v>
      </c>
      <c r="CV180">
        <f>Sales[[#This Row],[Nbhd Adj]]*Sales[[#This Row],[Quality Adj]]*Sales[[#This Row],[Condition Adj]]*Sales[[#This Row],[Living Area Adj]]*Sales[[#This Row],[Decade Adj]]*0.95</f>
        <v>0.89905338872685914</v>
      </c>
      <c r="CW180">
        <f>ROUND(SUM(Sales[[#This Row],[Mdl Qlty]:[Mdl GarageArea]])+Sales[[#This Row],[Mdl Res Intercept]]*Sales[[#This Row],[Res Adj ]],-2)</f>
        <v>347100</v>
      </c>
      <c r="CX180">
        <f>ROUND(Sales[[#This Row],[25Det]]*Sales[[#This Row],[Det/Nbhd Adj]],-2)</f>
        <v>7700</v>
      </c>
      <c r="CY180">
        <f>Sales[[#This Row],[Adjusted Res]]+Sales[[#This Row],[Adj Det ]]</f>
        <v>354800</v>
      </c>
      <c r="CZ180">
        <f>ROUND((Sales[[#This Row],[Mdl Land Intercept]]+Sales[[#This Row],[Mdl LnAcres]])*Sales[[#This Row],[Det/Nbhd Adj]],-2)</f>
        <v>55100</v>
      </c>
      <c r="DA180">
        <f>Sales[[#This Row],[Adjusted Impr Total]]+Sales[[#This Row],[Adjusted Land Total]]</f>
        <v>409900</v>
      </c>
      <c r="DB180">
        <f>IFERROR((Sales[[#This Row],[Adjusted Impr Total]]-Sales[[#This Row],[24Bldg]])/Sales[[#This Row],[24Bldg]],0)</f>
        <v>0.16213560432361612</v>
      </c>
      <c r="DC180">
        <f>(Sales[[#This Row],[Adjusted Land Total]]-Sales[[#This Row],[24Lnd]])/Sales[[#This Row],[24Lnd]]</f>
        <v>-0.43545081967213117</v>
      </c>
      <c r="DD180">
        <f>(Sales[[#This Row],[Adjusted Total]]-Sales[[#This Row],[24Final]])/Sales[[#This Row],[24Final]]</f>
        <v>1.7374038222884091E-2</v>
      </c>
      <c r="DE180">
        <f>(Sales[[#This Row],[Adjusted Total]]+Sales[[#This Row],[Days Prior Total]])/Sales[[#This Row],[Price]]</f>
        <v>0.94561887088311691</v>
      </c>
    </row>
    <row r="181" spans="1:109" x14ac:dyDescent="0.3">
      <c r="A181">
        <v>2025</v>
      </c>
      <c r="B181">
        <v>18131644498</v>
      </c>
      <c r="C181">
        <v>-1.7147984280919266</v>
      </c>
      <c r="D181">
        <v>0.18</v>
      </c>
      <c r="E181">
        <v>8004</v>
      </c>
      <c r="F181">
        <v>5</v>
      </c>
      <c r="G181" t="s">
        <v>89</v>
      </c>
      <c r="H181">
        <v>3042</v>
      </c>
      <c r="I181" t="s">
        <v>302</v>
      </c>
      <c r="J181" t="s">
        <v>26</v>
      </c>
      <c r="K181">
        <v>11</v>
      </c>
      <c r="L181">
        <v>259</v>
      </c>
      <c r="M181" t="s">
        <v>171</v>
      </c>
      <c r="N181" t="s">
        <v>257</v>
      </c>
      <c r="O181" t="s">
        <v>231</v>
      </c>
      <c r="P181">
        <v>1950</v>
      </c>
      <c r="Q181">
        <v>1973</v>
      </c>
      <c r="R181">
        <v>80</v>
      </c>
      <c r="S181">
        <v>74</v>
      </c>
      <c r="T181">
        <v>51</v>
      </c>
      <c r="U181">
        <v>1</v>
      </c>
      <c r="V181">
        <v>1198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1198</v>
      </c>
      <c r="AC181">
        <v>1500</v>
      </c>
      <c r="AD181">
        <v>0</v>
      </c>
      <c r="AF181" t="s">
        <v>153</v>
      </c>
      <c r="AG181" t="s">
        <v>274</v>
      </c>
      <c r="AH181" t="s">
        <v>51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8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100</v>
      </c>
      <c r="AW181">
        <v>100</v>
      </c>
      <c r="AX181">
        <v>179949</v>
      </c>
      <c r="AY181">
        <v>125964</v>
      </c>
      <c r="AZ181">
        <v>908</v>
      </c>
      <c r="BA181">
        <v>365</v>
      </c>
      <c r="BB181">
        <v>365</v>
      </c>
      <c r="BC181">
        <v>178</v>
      </c>
      <c r="BD181" s="6">
        <v>44384</v>
      </c>
      <c r="BE181" t="s">
        <v>259</v>
      </c>
      <c r="BF181">
        <v>270000</v>
      </c>
      <c r="BG181">
        <v>270000</v>
      </c>
      <c r="BH181" t="s">
        <v>198</v>
      </c>
      <c r="BI181">
        <v>30</v>
      </c>
      <c r="BJ181" t="s">
        <v>51</v>
      </c>
      <c r="BK181" t="s">
        <v>314</v>
      </c>
      <c r="BL181">
        <v>283300</v>
      </c>
      <c r="BM181">
        <v>63100</v>
      </c>
      <c r="BN181">
        <v>220200</v>
      </c>
      <c r="BO181">
        <v>0</v>
      </c>
      <c r="BP181">
        <v>1.0492592592592593</v>
      </c>
      <c r="BQ181">
        <v>231238.96209043369</v>
      </c>
      <c r="BR181">
        <v>309168.63583975879</v>
      </c>
      <c r="BS181" s="7">
        <f>(BR181-BL181)/BL181</f>
        <v>9.1311810235646981E-2</v>
      </c>
      <c r="BT181" s="14">
        <f>(Sales[[#This Row],[DP1]]*Lookups!$B$51)+(Sales[[#This Row],[DP2]]*Lookups!$B$52)+(Sales[[#This Row],[DP3]]*Lookups!$B$53)</f>
        <v>-77929.678710000007</v>
      </c>
      <c r="BU181" s="14">
        <f>Lookups!$B$48*0.5</f>
        <v>87214.824999999997</v>
      </c>
      <c r="BV181" s="14">
        <f>Lookups!$B$48*0.5</f>
        <v>87214.824999999997</v>
      </c>
      <c r="BW181" s="14">
        <f>Lookups!$B$49*Sales[[#This Row],[LnAcres]]</f>
        <v>-42917.710979326817</v>
      </c>
      <c r="BX181" s="14">
        <f>VLOOKUP(Sales[[#This Row],[Qlty]],Lookups!$A$54:$E$67,2,FALSE)</f>
        <v>0</v>
      </c>
      <c r="BY181" s="14">
        <f>VLOOKUP(Sales[[#This Row],[Cnd]],Lookups!$A$68:$E$76,2,FALSE)</f>
        <v>0</v>
      </c>
      <c r="BZ181" s="14">
        <f>Sales[[#This Row],[Age]]*Lookups!$B$77</f>
        <v>13653.919819999999</v>
      </c>
      <c r="CA181" s="14">
        <f>Sales[[#This Row],[MainFn]]*Lookups!$B$78</f>
        <v>82761.983882</v>
      </c>
      <c r="CB181" s="14">
        <f>Sales[[#This Row],[UpprFn]]*Lookups!$B$79</f>
        <v>0</v>
      </c>
      <c r="CC181" s="14">
        <f>Sales[[#This Row],[AddFn]]*Lookups!$B$80</f>
        <v>0</v>
      </c>
      <c r="CD181" s="14">
        <f>Sales[[#This Row],[Bsmt]]*Lookups!$B$81</f>
        <v>0</v>
      </c>
      <c r="CE181" s="14">
        <f>Sales[[#This Row],[Fixtures]]*Lookups!$B$84</f>
        <v>81240.800000000003</v>
      </c>
      <c r="CF181" s="14">
        <f>Sales[[#This Row],[MsnryFP]]*Lookups!$B$82</f>
        <v>0</v>
      </c>
      <c r="CG181" s="14">
        <f>Sales[[#This Row],[PrefabFP]]*Lookups!$B$83</f>
        <v>0</v>
      </c>
      <c r="CH181" s="14">
        <f>Sales[[#This Row],[GarageArea]]*Lookups!$B$85</f>
        <v>0</v>
      </c>
      <c r="CI181" s="14">
        <f>SUM(Sales[[#This Row],[Days Prior Total]:[Mdl GarageArea]])</f>
        <v>231238.96401267318</v>
      </c>
      <c r="CJ181" s="14">
        <f>ROUND(Sales[[#This Row],[25Det]],-2)</f>
        <v>0</v>
      </c>
      <c r="CK181" s="14">
        <f>ROUND(SUM(Sales[[#This Row],[Mdl Qlty]:[Mdl GarageArea]])+Sales[[#This Row],[Mdl Res Intercept]]+Sales[[#This Row],[Days Prior Total]],-2)</f>
        <v>186900</v>
      </c>
      <c r="CL181" s="14">
        <f>ROUND(Sales[[#This Row],[Mdl Land Intercept]]+Sales[[#This Row],[Mdl LnAcres]],-2)</f>
        <v>44300</v>
      </c>
      <c r="CM181" s="14">
        <f>Sales[[#This Row],[Unadj Res Value]]+Sales[[#This Row],[Unadj Det Value]]+Sales[[#This Row],[Unadj Land Value]]</f>
        <v>231200</v>
      </c>
      <c r="CN181" s="15">
        <f>Sales[[#This Row],[Unadj Total Value]]/Sales[[#This Row],[Price]]</f>
        <v>0.85629629629629633</v>
      </c>
      <c r="CO181" s="15">
        <f>(Sales[[#This Row],[Unadj Total Value]]-Sales[[#This Row],[24Final]])/Sales[[#This Row],[24Final]]</f>
        <v>-0.18390398870455349</v>
      </c>
      <c r="CP181">
        <f>VLOOKUP(Sales[[#This Row],[TNbhd]],Lookups!$M$2:$P$4,4,FALSE)</f>
        <v>0.97570000000000001</v>
      </c>
      <c r="CQ181">
        <f>VLOOKUP(Sales[[#This Row],[Qlty]],Lookups!$M$6:$P$20,4,FALSE)</f>
        <v>1.0046999999999999</v>
      </c>
      <c r="CR181">
        <f>VLOOKUP(Sales[[#This Row],[Cnd]],Lookups!$R$6:$U$15,4,FALSE)</f>
        <v>0.9677</v>
      </c>
      <c r="CS181">
        <f>VLOOKUP(Sales[[#This Row],[LivArea Range]],Lookups!$R$23:$U$39,4,FALSE)</f>
        <v>1.0062</v>
      </c>
      <c r="CT181">
        <f>VLOOKUP(Sales[[#This Row],[Decade]],Lookups!$M$23:$P$35,4,FALSE)</f>
        <v>1.0236000000000001</v>
      </c>
      <c r="CU181">
        <f>Sales[[#This Row],[Nbhd Adj]]*0.95</f>
        <v>0.92691499999999993</v>
      </c>
      <c r="CV181">
        <f>Sales[[#This Row],[Nbhd Adj]]*Sales[[#This Row],[Quality Adj]]*Sales[[#This Row],[Condition Adj]]*Sales[[#This Row],[Living Area Adj]]*Sales[[#This Row],[Decade Adj]]*0.95</f>
        <v>0.92817879800884751</v>
      </c>
      <c r="CW181">
        <f>ROUND(SUM(Sales[[#This Row],[Mdl Qlty]:[Mdl GarageArea]])+Sales[[#This Row],[Mdl Res Intercept]]*Sales[[#This Row],[Res Adj ]],-2)</f>
        <v>258600</v>
      </c>
      <c r="CX181">
        <f>ROUND(Sales[[#This Row],[25Det]]*Sales[[#This Row],[Det/Nbhd Adj]],-2)</f>
        <v>0</v>
      </c>
      <c r="CY181">
        <f>Sales[[#This Row],[Adjusted Res]]+Sales[[#This Row],[Adj Det ]]</f>
        <v>258600</v>
      </c>
      <c r="CZ181">
        <f>ROUND((Sales[[#This Row],[Mdl Land Intercept]]+Sales[[#This Row],[Mdl LnAcres]])*Sales[[#This Row],[Det/Nbhd Adj]],-2)</f>
        <v>41100</v>
      </c>
      <c r="DA181">
        <f>Sales[[#This Row],[Adjusted Impr Total]]+Sales[[#This Row],[Adjusted Land Total]]</f>
        <v>299700</v>
      </c>
      <c r="DB181">
        <f>IFERROR((Sales[[#This Row],[Adjusted Impr Total]]-Sales[[#This Row],[24Bldg]])/Sales[[#This Row],[24Bldg]],0)</f>
        <v>0.17438692098092642</v>
      </c>
      <c r="DC181">
        <f>(Sales[[#This Row],[Adjusted Land Total]]-Sales[[#This Row],[24Lnd]])/Sales[[#This Row],[24Lnd]]</f>
        <v>-0.34865293185419971</v>
      </c>
      <c r="DD181">
        <f>(Sales[[#This Row],[Adjusted Total]]-Sales[[#This Row],[24Final]])/Sales[[#This Row],[24Final]]</f>
        <v>5.7889163430991881E-2</v>
      </c>
      <c r="DE181">
        <f>(Sales[[#This Row],[Adjusted Total]]+Sales[[#This Row],[Days Prior Total]])/Sales[[#This Row],[Price]]</f>
        <v>0.82137156033333325</v>
      </c>
    </row>
    <row r="182" spans="1:109" x14ac:dyDescent="0.3">
      <c r="A182">
        <v>2025</v>
      </c>
      <c r="B182">
        <v>18131744404</v>
      </c>
      <c r="C182">
        <v>-0.9942522733438669</v>
      </c>
      <c r="D182">
        <v>0.37</v>
      </c>
      <c r="E182">
        <v>16220</v>
      </c>
      <c r="F182">
        <v>5</v>
      </c>
      <c r="G182" t="s">
        <v>89</v>
      </c>
      <c r="H182">
        <v>3041</v>
      </c>
      <c r="I182" t="s">
        <v>302</v>
      </c>
      <c r="J182" t="s">
        <v>26</v>
      </c>
      <c r="K182">
        <v>11</v>
      </c>
      <c r="L182">
        <v>130</v>
      </c>
      <c r="M182" t="s">
        <v>172</v>
      </c>
      <c r="N182" t="s">
        <v>257</v>
      </c>
      <c r="O182" t="s">
        <v>231</v>
      </c>
      <c r="P182">
        <v>1950</v>
      </c>
      <c r="Q182">
        <v>1973</v>
      </c>
      <c r="R182">
        <v>80</v>
      </c>
      <c r="S182">
        <v>74</v>
      </c>
      <c r="T182">
        <v>51</v>
      </c>
      <c r="U182">
        <v>1</v>
      </c>
      <c r="V182">
        <v>1578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1578</v>
      </c>
      <c r="AC182">
        <v>2000</v>
      </c>
      <c r="AD182">
        <v>2</v>
      </c>
      <c r="AE182" t="s">
        <v>132</v>
      </c>
      <c r="AF182" t="s">
        <v>276</v>
      </c>
      <c r="AG182" t="s">
        <v>274</v>
      </c>
      <c r="AI182">
        <v>0</v>
      </c>
      <c r="AJ182">
        <v>1</v>
      </c>
      <c r="AK182">
        <v>0</v>
      </c>
      <c r="AL182">
        <v>1</v>
      </c>
      <c r="AM182">
        <v>0</v>
      </c>
      <c r="AN182">
        <v>8</v>
      </c>
      <c r="AO182">
        <v>552</v>
      </c>
      <c r="AP182">
        <v>0</v>
      </c>
      <c r="AQ182">
        <v>552</v>
      </c>
      <c r="AR182">
        <v>0</v>
      </c>
      <c r="AS182">
        <v>0</v>
      </c>
      <c r="AT182">
        <v>0</v>
      </c>
      <c r="AU182">
        <v>0</v>
      </c>
      <c r="AV182">
        <v>100</v>
      </c>
      <c r="AW182">
        <v>100</v>
      </c>
      <c r="AX182">
        <v>239104</v>
      </c>
      <c r="AY182">
        <v>167373</v>
      </c>
      <c r="AZ182">
        <v>1085</v>
      </c>
      <c r="BA182">
        <v>365</v>
      </c>
      <c r="BB182">
        <v>365</v>
      </c>
      <c r="BC182">
        <v>355</v>
      </c>
      <c r="BD182" s="6">
        <v>44207</v>
      </c>
      <c r="BE182" t="s">
        <v>277</v>
      </c>
      <c r="BF182">
        <v>300000</v>
      </c>
      <c r="BG182">
        <v>300000</v>
      </c>
      <c r="BH182" t="s">
        <v>198</v>
      </c>
      <c r="BI182">
        <v>30</v>
      </c>
      <c r="BJ182" t="s">
        <v>51</v>
      </c>
      <c r="BK182" t="s">
        <v>314</v>
      </c>
      <c r="BL182">
        <v>377100</v>
      </c>
      <c r="BM182">
        <v>104100</v>
      </c>
      <c r="BN182">
        <v>273000</v>
      </c>
      <c r="BO182">
        <v>0</v>
      </c>
      <c r="BP182">
        <v>1.2569999999999999</v>
      </c>
      <c r="BQ182">
        <v>274152.81771921995</v>
      </c>
      <c r="BR182">
        <v>406702.22200395679</v>
      </c>
      <c r="BS182" s="7">
        <f>(BR182-BL182)/BL182</f>
        <v>7.8499660577981412E-2</v>
      </c>
      <c r="BT182" s="14">
        <f>(Sales[[#This Row],[DP1]]*Lookups!$B$51)+(Sales[[#This Row],[DP2]]*Lookups!$B$52)+(Sales[[#This Row],[DP3]]*Lookups!$B$53)</f>
        <v>-132549.40071000002</v>
      </c>
      <c r="BU182" s="14">
        <f>Lookups!$B$48*0.5</f>
        <v>87214.824999999997</v>
      </c>
      <c r="BV182" s="14">
        <f>Lookups!$B$48*0.5</f>
        <v>87214.824999999997</v>
      </c>
      <c r="BW182" s="14">
        <f>Lookups!$B$49*Sales[[#This Row],[LnAcres]]</f>
        <v>-24883.992782400208</v>
      </c>
      <c r="BX182" s="14">
        <f>VLOOKUP(Sales[[#This Row],[Qlty]],Lookups!$A$54:$E$67,2,FALSE)</f>
        <v>0</v>
      </c>
      <c r="BY182" s="14">
        <f>VLOOKUP(Sales[[#This Row],[Cnd]],Lookups!$A$68:$E$76,2,FALSE)</f>
        <v>0</v>
      </c>
      <c r="BZ182" s="14">
        <f>Sales[[#This Row],[Age]]*Lookups!$B$77</f>
        <v>13653.919819999999</v>
      </c>
      <c r="CA182" s="14">
        <f>Sales[[#This Row],[MainFn]]*Lookups!$B$78</f>
        <v>109013.698302</v>
      </c>
      <c r="CB182" s="14">
        <f>Sales[[#This Row],[UpprFn]]*Lookups!$B$79</f>
        <v>0</v>
      </c>
      <c r="CC182" s="14">
        <f>Sales[[#This Row],[AddFn]]*Lookups!$B$80</f>
        <v>0</v>
      </c>
      <c r="CD182" s="14">
        <f>Sales[[#This Row],[Bsmt]]*Lookups!$B$81</f>
        <v>0</v>
      </c>
      <c r="CE182" s="14">
        <f>Sales[[#This Row],[Fixtures]]*Lookups!$B$84</f>
        <v>81240.800000000003</v>
      </c>
      <c r="CF182" s="14">
        <f>Sales[[#This Row],[MsnryFP]]*Lookups!$B$82</f>
        <v>25273.623</v>
      </c>
      <c r="CG182" s="14">
        <f>Sales[[#This Row],[PrefabFP]]*Lookups!$B$83</f>
        <v>0</v>
      </c>
      <c r="CH182" s="14">
        <f>Sales[[#This Row],[GarageArea]]*Lookups!$B$85</f>
        <v>27974.530343999999</v>
      </c>
      <c r="CI182" s="14">
        <f>SUM(Sales[[#This Row],[Days Prior Total]:[Mdl GarageArea]])</f>
        <v>274152.82797359978</v>
      </c>
      <c r="CJ182" s="14">
        <f>ROUND(Sales[[#This Row],[25Det]],-2)</f>
        <v>0</v>
      </c>
      <c r="CK182" s="14">
        <f>ROUND(SUM(Sales[[#This Row],[Mdl Qlty]:[Mdl GarageArea]])+Sales[[#This Row],[Mdl Res Intercept]]+Sales[[#This Row],[Days Prior Total]],-2)</f>
        <v>211800</v>
      </c>
      <c r="CL182" s="14">
        <f>ROUND(Sales[[#This Row],[Mdl Land Intercept]]+Sales[[#This Row],[Mdl LnAcres]],-2)</f>
        <v>62300</v>
      </c>
      <c r="CM182" s="14">
        <f>Sales[[#This Row],[Unadj Res Value]]+Sales[[#This Row],[Unadj Det Value]]+Sales[[#This Row],[Unadj Land Value]]</f>
        <v>274100</v>
      </c>
      <c r="CN182" s="15">
        <f>Sales[[#This Row],[Unadj Total Value]]/Sales[[#This Row],[Price]]</f>
        <v>0.91366666666666663</v>
      </c>
      <c r="CO182" s="15">
        <f>(Sales[[#This Row],[Unadj Total Value]]-Sales[[#This Row],[24Final]])/Sales[[#This Row],[24Final]]</f>
        <v>-0.27313709891275523</v>
      </c>
      <c r="CP182">
        <f>VLOOKUP(Sales[[#This Row],[TNbhd]],Lookups!$M$2:$P$4,4,FALSE)</f>
        <v>0.97570000000000001</v>
      </c>
      <c r="CQ182">
        <f>VLOOKUP(Sales[[#This Row],[Qlty]],Lookups!$M$6:$P$20,4,FALSE)</f>
        <v>1.0046999999999999</v>
      </c>
      <c r="CR182">
        <f>VLOOKUP(Sales[[#This Row],[Cnd]],Lookups!$R$6:$U$15,4,FALSE)</f>
        <v>0.9677</v>
      </c>
      <c r="CS182">
        <f>VLOOKUP(Sales[[#This Row],[LivArea Range]],Lookups!$R$23:$U$39,4,FALSE)</f>
        <v>0.99099999999999999</v>
      </c>
      <c r="CT182">
        <f>VLOOKUP(Sales[[#This Row],[Decade]],Lookups!$M$23:$P$35,4,FALSE)</f>
        <v>1.0236000000000001</v>
      </c>
      <c r="CU182">
        <f>Sales[[#This Row],[Nbhd Adj]]*0.95</f>
        <v>0.92691499999999993</v>
      </c>
      <c r="CV182">
        <f>Sales[[#This Row],[Nbhd Adj]]*Sales[[#This Row],[Quality Adj]]*Sales[[#This Row],[Condition Adj]]*Sales[[#This Row],[Living Area Adj]]*Sales[[#This Row],[Decade Adj]]*0.95</f>
        <v>0.91415741286699248</v>
      </c>
      <c r="CW182">
        <f>ROUND(SUM(Sales[[#This Row],[Mdl Qlty]:[Mdl GarageArea]])+Sales[[#This Row],[Mdl Res Intercept]]*Sales[[#This Row],[Res Adj ]],-2)</f>
        <v>336900</v>
      </c>
      <c r="CX182">
        <f>ROUND(Sales[[#This Row],[25Det]]*Sales[[#This Row],[Det/Nbhd Adj]],-2)</f>
        <v>0</v>
      </c>
      <c r="CY182">
        <f>Sales[[#This Row],[Adjusted Res]]+Sales[[#This Row],[Adj Det ]]</f>
        <v>336900</v>
      </c>
      <c r="CZ182">
        <f>ROUND((Sales[[#This Row],[Mdl Land Intercept]]+Sales[[#This Row],[Mdl LnAcres]])*Sales[[#This Row],[Det/Nbhd Adj]],-2)</f>
        <v>57800</v>
      </c>
      <c r="DA182">
        <f>Sales[[#This Row],[Adjusted Impr Total]]+Sales[[#This Row],[Adjusted Land Total]]</f>
        <v>394700</v>
      </c>
      <c r="DB182">
        <f>IFERROR((Sales[[#This Row],[Adjusted Impr Total]]-Sales[[#This Row],[24Bldg]])/Sales[[#This Row],[24Bldg]],0)</f>
        <v>0.23406593406593407</v>
      </c>
      <c r="DC182">
        <f>(Sales[[#This Row],[Adjusted Land Total]]-Sales[[#This Row],[24Lnd]])/Sales[[#This Row],[24Lnd]]</f>
        <v>-0.4447646493756004</v>
      </c>
      <c r="DD182">
        <f>(Sales[[#This Row],[Adjusted Total]]-Sales[[#This Row],[24Final]])/Sales[[#This Row],[24Final]]</f>
        <v>4.6671970299655266E-2</v>
      </c>
      <c r="DE182">
        <f>(Sales[[#This Row],[Adjusted Total]]+Sales[[#This Row],[Days Prior Total]])/Sales[[#This Row],[Price]]</f>
        <v>0.87383533096666666</v>
      </c>
    </row>
    <row r="183" spans="1:109" x14ac:dyDescent="0.3">
      <c r="A183">
        <v>2025</v>
      </c>
      <c r="B183">
        <v>18131644502</v>
      </c>
      <c r="C183">
        <v>-1.6607312068216509</v>
      </c>
      <c r="D183">
        <v>0.19</v>
      </c>
      <c r="E183">
        <v>8078</v>
      </c>
      <c r="F183">
        <v>5</v>
      </c>
      <c r="G183" t="s">
        <v>89</v>
      </c>
      <c r="H183">
        <v>3042</v>
      </c>
      <c r="I183" t="s">
        <v>302</v>
      </c>
      <c r="J183" t="s">
        <v>26</v>
      </c>
      <c r="K183">
        <v>11</v>
      </c>
      <c r="L183">
        <v>259</v>
      </c>
      <c r="M183" t="s">
        <v>172</v>
      </c>
      <c r="N183" t="s">
        <v>257</v>
      </c>
      <c r="O183" t="s">
        <v>207</v>
      </c>
      <c r="P183">
        <v>1950</v>
      </c>
      <c r="Q183">
        <v>1973</v>
      </c>
      <c r="R183">
        <v>80</v>
      </c>
      <c r="S183">
        <v>74</v>
      </c>
      <c r="T183">
        <v>51</v>
      </c>
      <c r="U183">
        <v>1</v>
      </c>
      <c r="V183">
        <v>1403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1403</v>
      </c>
      <c r="AC183">
        <v>1500</v>
      </c>
      <c r="AD183">
        <v>0</v>
      </c>
      <c r="AF183" t="s">
        <v>275</v>
      </c>
      <c r="AG183" t="s">
        <v>111</v>
      </c>
      <c r="AH183" t="s">
        <v>314</v>
      </c>
      <c r="AI183">
        <v>0</v>
      </c>
      <c r="AJ183">
        <v>1</v>
      </c>
      <c r="AK183">
        <v>0</v>
      </c>
      <c r="AL183">
        <v>0</v>
      </c>
      <c r="AM183">
        <v>1</v>
      </c>
      <c r="AN183">
        <v>7</v>
      </c>
      <c r="AO183">
        <v>0</v>
      </c>
      <c r="AP183">
        <v>0</v>
      </c>
      <c r="AQ183">
        <v>0</v>
      </c>
      <c r="AR183">
        <v>297</v>
      </c>
      <c r="AS183">
        <v>0</v>
      </c>
      <c r="AT183">
        <v>232</v>
      </c>
      <c r="AU183">
        <v>232</v>
      </c>
      <c r="AV183">
        <v>100</v>
      </c>
      <c r="AW183">
        <v>100</v>
      </c>
      <c r="AX183">
        <v>215427</v>
      </c>
      <c r="AY183">
        <v>168033</v>
      </c>
      <c r="AZ183">
        <v>326</v>
      </c>
      <c r="BA183">
        <v>326</v>
      </c>
      <c r="BB183">
        <v>0</v>
      </c>
      <c r="BC183">
        <v>0</v>
      </c>
      <c r="BD183" s="6">
        <v>44966</v>
      </c>
      <c r="BE183" t="s">
        <v>281</v>
      </c>
      <c r="BF183">
        <v>290000</v>
      </c>
      <c r="BG183">
        <v>290000</v>
      </c>
      <c r="BH183" t="s">
        <v>198</v>
      </c>
      <c r="BI183">
        <v>30</v>
      </c>
      <c r="BJ183" t="s">
        <v>51</v>
      </c>
      <c r="BK183" t="s">
        <v>314</v>
      </c>
      <c r="BL183">
        <v>340200</v>
      </c>
      <c r="BM183">
        <v>66200</v>
      </c>
      <c r="BN183">
        <v>274000</v>
      </c>
      <c r="BO183">
        <v>0</v>
      </c>
      <c r="BP183">
        <v>1.173103448275862</v>
      </c>
      <c r="BQ183">
        <v>335515.55184078775</v>
      </c>
      <c r="BR183">
        <v>387076.351688258</v>
      </c>
      <c r="BS183" s="7">
        <f>(BR183-BL183)/BL183</f>
        <v>0.13779056933644326</v>
      </c>
      <c r="BT183" s="14">
        <f>(Sales[[#This Row],[DP1]]*Lookups!$B$51)+(Sales[[#This Row],[DP2]]*Lookups!$B$52)+(Sales[[#This Row],[DP3]]*Lookups!$B$53)</f>
        <v>-51560.812000000005</v>
      </c>
      <c r="BU183" s="14">
        <f>Lookups!$B$48*0.5</f>
        <v>87214.824999999997</v>
      </c>
      <c r="BV183" s="14">
        <f>Lookups!$B$48*0.5</f>
        <v>87214.824999999997</v>
      </c>
      <c r="BW183" s="14">
        <f>Lookups!$B$49*Sales[[#This Row],[LnAcres]]</f>
        <v>-41564.524891726433</v>
      </c>
      <c r="BX183" s="14">
        <f>VLOOKUP(Sales[[#This Row],[Qlty]],Lookups!$A$54:$E$67,2,FALSE)</f>
        <v>0</v>
      </c>
      <c r="BY183" s="14">
        <f>VLOOKUP(Sales[[#This Row],[Cnd]],Lookups!$A$68:$E$76,2,FALSE)</f>
        <v>47273.897095</v>
      </c>
      <c r="BZ183" s="14">
        <f>Sales[[#This Row],[Age]]*Lookups!$B$77</f>
        <v>13653.919819999999</v>
      </c>
      <c r="CA183" s="14">
        <f>Sales[[#This Row],[MainFn]]*Lookups!$B$78</f>
        <v>96924.092977000008</v>
      </c>
      <c r="CB183" s="14">
        <f>Sales[[#This Row],[UpprFn]]*Lookups!$B$79</f>
        <v>0</v>
      </c>
      <c r="CC183" s="14">
        <f>Sales[[#This Row],[AddFn]]*Lookups!$B$80</f>
        <v>0</v>
      </c>
      <c r="CD183" s="14">
        <f>Sales[[#This Row],[Bsmt]]*Lookups!$B$81</f>
        <v>0</v>
      </c>
      <c r="CE183" s="14">
        <f>Sales[[#This Row],[Fixtures]]*Lookups!$B$84</f>
        <v>71085.7</v>
      </c>
      <c r="CF183" s="14">
        <f>Sales[[#This Row],[MsnryFP]]*Lookups!$B$82</f>
        <v>25273.623</v>
      </c>
      <c r="CG183" s="14">
        <f>Sales[[#This Row],[PrefabFP]]*Lookups!$B$83</f>
        <v>0</v>
      </c>
      <c r="CH183" s="14">
        <f>Sales[[#This Row],[GarageArea]]*Lookups!$B$85</f>
        <v>0</v>
      </c>
      <c r="CI183" s="14">
        <f>SUM(Sales[[#This Row],[Days Prior Total]:[Mdl GarageArea]])</f>
        <v>335515.54600027361</v>
      </c>
      <c r="CJ183" s="14">
        <f>ROUND(Sales[[#This Row],[25Det]],-2)</f>
        <v>0</v>
      </c>
      <c r="CK183" s="14">
        <f>ROUND(SUM(Sales[[#This Row],[Mdl Qlty]:[Mdl GarageArea]])+Sales[[#This Row],[Mdl Res Intercept]]+Sales[[#This Row],[Days Prior Total]],-2)</f>
        <v>289900</v>
      </c>
      <c r="CL183" s="14">
        <f>ROUND(Sales[[#This Row],[Mdl Land Intercept]]+Sales[[#This Row],[Mdl LnAcres]],-2)</f>
        <v>45700</v>
      </c>
      <c r="CM183" s="14">
        <f>Sales[[#This Row],[Unadj Res Value]]+Sales[[#This Row],[Unadj Det Value]]+Sales[[#This Row],[Unadj Land Value]]</f>
        <v>335600</v>
      </c>
      <c r="CN183" s="15">
        <f>Sales[[#This Row],[Unadj Total Value]]/Sales[[#This Row],[Price]]</f>
        <v>1.1572413793103449</v>
      </c>
      <c r="CO183" s="15">
        <f>(Sales[[#This Row],[Unadj Total Value]]-Sales[[#This Row],[24Final]])/Sales[[#This Row],[24Final]]</f>
        <v>-1.3521457965902411E-2</v>
      </c>
      <c r="CP183">
        <f>VLOOKUP(Sales[[#This Row],[TNbhd]],Lookups!$M$2:$P$4,4,FALSE)</f>
        <v>0.97570000000000001</v>
      </c>
      <c r="CQ183">
        <f>VLOOKUP(Sales[[#This Row],[Qlty]],Lookups!$M$6:$P$20,4,FALSE)</f>
        <v>1.0046999999999999</v>
      </c>
      <c r="CR183">
        <f>VLOOKUP(Sales[[#This Row],[Cnd]],Lookups!$R$6:$U$15,4,FALSE)</f>
        <v>0.97829999999999995</v>
      </c>
      <c r="CS183">
        <f>VLOOKUP(Sales[[#This Row],[LivArea Range]],Lookups!$R$23:$U$39,4,FALSE)</f>
        <v>1.0062</v>
      </c>
      <c r="CT183">
        <f>VLOOKUP(Sales[[#This Row],[Decade]],Lookups!$M$23:$P$35,4,FALSE)</f>
        <v>1.0236000000000001</v>
      </c>
      <c r="CU183">
        <f>Sales[[#This Row],[Nbhd Adj]]*0.95</f>
        <v>0.92691499999999993</v>
      </c>
      <c r="CV183">
        <f>Sales[[#This Row],[Nbhd Adj]]*Sales[[#This Row],[Quality Adj]]*Sales[[#This Row],[Condition Adj]]*Sales[[#This Row],[Living Area Adj]]*Sales[[#This Row],[Decade Adj]]*0.95</f>
        <v>0.93834589035037252</v>
      </c>
      <c r="CW183">
        <f>ROUND(SUM(Sales[[#This Row],[Mdl Qlty]:[Mdl GarageArea]])+Sales[[#This Row],[Mdl Res Intercept]]*Sales[[#This Row],[Res Adj ]],-2)</f>
        <v>336000</v>
      </c>
      <c r="CX183">
        <f>ROUND(Sales[[#This Row],[25Det]]*Sales[[#This Row],[Det/Nbhd Adj]],-2)</f>
        <v>0</v>
      </c>
      <c r="CY183">
        <f>Sales[[#This Row],[Adjusted Res]]+Sales[[#This Row],[Adj Det ]]</f>
        <v>336000</v>
      </c>
      <c r="CZ183">
        <f>ROUND((Sales[[#This Row],[Mdl Land Intercept]]+Sales[[#This Row],[Mdl LnAcres]])*Sales[[#This Row],[Det/Nbhd Adj]],-2)</f>
        <v>42300</v>
      </c>
      <c r="DA183">
        <f>Sales[[#This Row],[Adjusted Impr Total]]+Sales[[#This Row],[Adjusted Land Total]]</f>
        <v>378300</v>
      </c>
      <c r="DB183">
        <f>IFERROR((Sales[[#This Row],[Adjusted Impr Total]]-Sales[[#This Row],[24Bldg]])/Sales[[#This Row],[24Bldg]],0)</f>
        <v>0.22627737226277372</v>
      </c>
      <c r="DC183">
        <f>(Sales[[#This Row],[Adjusted Land Total]]-Sales[[#This Row],[24Lnd]])/Sales[[#This Row],[24Lnd]]</f>
        <v>-0.36102719033232628</v>
      </c>
      <c r="DD183">
        <f>(Sales[[#This Row],[Adjusted Total]]-Sales[[#This Row],[24Final]])/Sales[[#This Row],[24Final]]</f>
        <v>0.11199294532627865</v>
      </c>
      <c r="DE183">
        <f>(Sales[[#This Row],[Adjusted Total]]+Sales[[#This Row],[Days Prior Total]])/Sales[[#This Row],[Price]]</f>
        <v>1.1266868551724136</v>
      </c>
    </row>
    <row r="184" spans="1:109" x14ac:dyDescent="0.3">
      <c r="A184">
        <v>2025</v>
      </c>
      <c r="B184">
        <v>18131641438</v>
      </c>
      <c r="C184">
        <v>-0.52763274208237199</v>
      </c>
      <c r="D184">
        <v>0.59</v>
      </c>
      <c r="E184">
        <v>25552</v>
      </c>
      <c r="F184">
        <v>5</v>
      </c>
      <c r="G184" t="s">
        <v>89</v>
      </c>
      <c r="H184">
        <v>3041</v>
      </c>
      <c r="I184" t="s">
        <v>302</v>
      </c>
      <c r="J184" t="s">
        <v>26</v>
      </c>
      <c r="K184">
        <v>11</v>
      </c>
      <c r="L184">
        <v>259</v>
      </c>
      <c r="M184" t="s">
        <v>171</v>
      </c>
      <c r="N184" t="s">
        <v>111</v>
      </c>
      <c r="O184" t="s">
        <v>258</v>
      </c>
      <c r="P184">
        <v>1950</v>
      </c>
      <c r="Q184">
        <v>1983</v>
      </c>
      <c r="R184">
        <v>80</v>
      </c>
      <c r="S184">
        <v>74</v>
      </c>
      <c r="T184">
        <v>41</v>
      </c>
      <c r="U184">
        <v>1</v>
      </c>
      <c r="V184">
        <v>2133</v>
      </c>
      <c r="W184">
        <v>0</v>
      </c>
      <c r="X184">
        <v>0</v>
      </c>
      <c r="Y184">
        <v>1066</v>
      </c>
      <c r="Z184">
        <v>1066</v>
      </c>
      <c r="AA184">
        <v>0</v>
      </c>
      <c r="AB184">
        <v>3199</v>
      </c>
      <c r="AC184">
        <v>3500</v>
      </c>
      <c r="AD184">
        <v>2</v>
      </c>
      <c r="AE184" t="s">
        <v>5</v>
      </c>
      <c r="AF184" t="s">
        <v>275</v>
      </c>
      <c r="AG184" t="s">
        <v>111</v>
      </c>
      <c r="AH184" t="s">
        <v>314</v>
      </c>
      <c r="AI184">
        <v>0</v>
      </c>
      <c r="AJ184">
        <v>2</v>
      </c>
      <c r="AK184">
        <v>0</v>
      </c>
      <c r="AL184">
        <v>1</v>
      </c>
      <c r="AM184">
        <v>1</v>
      </c>
      <c r="AN184">
        <v>18</v>
      </c>
      <c r="AO184">
        <v>624</v>
      </c>
      <c r="AP184">
        <v>0</v>
      </c>
      <c r="AQ184">
        <v>624</v>
      </c>
      <c r="AR184">
        <v>0</v>
      </c>
      <c r="AS184">
        <v>0</v>
      </c>
      <c r="AT184">
        <v>480</v>
      </c>
      <c r="AU184">
        <v>0</v>
      </c>
      <c r="AV184">
        <v>100</v>
      </c>
      <c r="AW184">
        <v>100</v>
      </c>
      <c r="AX184">
        <v>570820</v>
      </c>
      <c r="AY184">
        <v>502322</v>
      </c>
      <c r="AZ184">
        <v>741</v>
      </c>
      <c r="BA184">
        <v>365</v>
      </c>
      <c r="BB184">
        <v>365</v>
      </c>
      <c r="BC184">
        <v>11</v>
      </c>
      <c r="BD184" s="6">
        <v>44551</v>
      </c>
      <c r="BE184" t="s">
        <v>140</v>
      </c>
      <c r="BF184">
        <v>775000</v>
      </c>
      <c r="BG184">
        <v>775000</v>
      </c>
      <c r="BH184" t="s">
        <v>198</v>
      </c>
      <c r="BI184">
        <v>30</v>
      </c>
      <c r="BJ184" t="s">
        <v>51</v>
      </c>
      <c r="BK184" t="s">
        <v>314</v>
      </c>
      <c r="BL184">
        <v>601200</v>
      </c>
      <c r="BM184">
        <v>130600</v>
      </c>
      <c r="BN184">
        <v>470600</v>
      </c>
      <c r="BO184">
        <v>0</v>
      </c>
      <c r="BP184">
        <v>0.77574193548387094</v>
      </c>
      <c r="BQ184">
        <v>683524.21401134622</v>
      </c>
      <c r="BR184">
        <v>709920.01770748617</v>
      </c>
      <c r="BS184" s="7">
        <f>(BR184-BL184)/BL184</f>
        <v>0.18083835280686322</v>
      </c>
      <c r="BT184" s="14">
        <f>(Sales[[#This Row],[DP1]]*Lookups!$B$51)+(Sales[[#This Row],[DP2]]*Lookups!$B$52)+(Sales[[#This Row],[DP3]]*Lookups!$B$53)</f>
        <v>-26395.816710000003</v>
      </c>
      <c r="BU184" s="14">
        <f>Lookups!$B$48*0.5</f>
        <v>87214.824999999997</v>
      </c>
      <c r="BV184" s="14">
        <f>Lookups!$B$48*0.5</f>
        <v>87214.824999999997</v>
      </c>
      <c r="BW184" s="14">
        <f>Lookups!$B$49*Sales[[#This Row],[LnAcres]]</f>
        <v>-13205.511013395326</v>
      </c>
      <c r="BX184" s="14">
        <f>VLOOKUP(Sales[[#This Row],[Qlty]],Lookups!$A$54:$E$67,2,FALSE)</f>
        <v>-14329.694740000001</v>
      </c>
      <c r="BY184" s="14">
        <f>VLOOKUP(Sales[[#This Row],[Cnd]],Lookups!$A$68:$E$76,2,FALSE)</f>
        <v>106557.38887</v>
      </c>
      <c r="BZ184" s="14">
        <f>Sales[[#This Row],[Age]]*Lookups!$B$77</f>
        <v>13653.919819999999</v>
      </c>
      <c r="CA184" s="14">
        <f>Sales[[#This Row],[MainFn]]*Lookups!$B$78</f>
        <v>147355.01804700002</v>
      </c>
      <c r="CB184" s="14">
        <f>Sales[[#This Row],[UpprFn]]*Lookups!$B$79</f>
        <v>0</v>
      </c>
      <c r="CC184" s="14">
        <f>Sales[[#This Row],[AddFn]]*Lookups!$B$80</f>
        <v>0</v>
      </c>
      <c r="CD184" s="14">
        <f>Sales[[#This Row],[Bsmt]]*Lookups!$B$81</f>
        <v>30496.829427999997</v>
      </c>
      <c r="CE184" s="14">
        <f>Sales[[#This Row],[Fixtures]]*Lookups!$B$84</f>
        <v>182791.80000000002</v>
      </c>
      <c r="CF184" s="14">
        <f>Sales[[#This Row],[MsnryFP]]*Lookups!$B$82</f>
        <v>50547.245999999999</v>
      </c>
      <c r="CG184" s="14">
        <f>Sales[[#This Row],[PrefabFP]]*Lookups!$B$83</f>
        <v>0</v>
      </c>
      <c r="CH184" s="14">
        <f>Sales[[#This Row],[GarageArea]]*Lookups!$B$85</f>
        <v>31623.382128000001</v>
      </c>
      <c r="CI184" s="14">
        <f>SUM(Sales[[#This Row],[Days Prior Total]:[Mdl GarageArea]])</f>
        <v>683524.21182960481</v>
      </c>
      <c r="CJ184" s="14">
        <f>ROUND(Sales[[#This Row],[25Det]],-2)</f>
        <v>0</v>
      </c>
      <c r="CK184" s="14">
        <f>ROUND(SUM(Sales[[#This Row],[Mdl Qlty]:[Mdl GarageArea]])+Sales[[#This Row],[Mdl Res Intercept]]+Sales[[#This Row],[Days Prior Total]],-2)</f>
        <v>609500</v>
      </c>
      <c r="CL184" s="14">
        <f>ROUND(Sales[[#This Row],[Mdl Land Intercept]]+Sales[[#This Row],[Mdl LnAcres]],-2)</f>
        <v>74000</v>
      </c>
      <c r="CM184" s="14">
        <f>Sales[[#This Row],[Unadj Res Value]]+Sales[[#This Row],[Unadj Det Value]]+Sales[[#This Row],[Unadj Land Value]]</f>
        <v>683500</v>
      </c>
      <c r="CN184" s="15">
        <f>Sales[[#This Row],[Unadj Total Value]]/Sales[[#This Row],[Price]]</f>
        <v>0.88193548387096776</v>
      </c>
      <c r="CO184" s="15">
        <f>(Sales[[#This Row],[Unadj Total Value]]-Sales[[#This Row],[24Final]])/Sales[[#This Row],[24Final]]</f>
        <v>0.13689288090485696</v>
      </c>
      <c r="CP184">
        <f>VLOOKUP(Sales[[#This Row],[TNbhd]],Lookups!$M$2:$P$4,4,FALSE)</f>
        <v>0.97570000000000001</v>
      </c>
      <c r="CQ184">
        <f>VLOOKUP(Sales[[#This Row],[Qlty]],Lookups!$M$6:$P$20,4,FALSE)</f>
        <v>0.98809999999999998</v>
      </c>
      <c r="CR184">
        <f>VLOOKUP(Sales[[#This Row],[Cnd]],Lookups!$R$6:$U$15,4,FALSE)</f>
        <v>0.9748</v>
      </c>
      <c r="CS184">
        <f>VLOOKUP(Sales[[#This Row],[LivArea Range]],Lookups!$R$23:$U$39,4,FALSE)</f>
        <v>0.99619999999999997</v>
      </c>
      <c r="CT184">
        <f>VLOOKUP(Sales[[#This Row],[Decade]],Lookups!$M$23:$P$35,4,FALSE)</f>
        <v>1.0236000000000001</v>
      </c>
      <c r="CU184">
        <f>Sales[[#This Row],[Nbhd Adj]]*0.95</f>
        <v>0.92691499999999993</v>
      </c>
      <c r="CV184">
        <f>Sales[[#This Row],[Nbhd Adj]]*Sales[[#This Row],[Quality Adj]]*Sales[[#This Row],[Condition Adj]]*Sales[[#This Row],[Living Area Adj]]*Sales[[#This Row],[Decade Adj]]*0.95</f>
        <v>0.91040187752215396</v>
      </c>
      <c r="CW184">
        <f>ROUND(SUM(Sales[[#This Row],[Mdl Qlty]:[Mdl GarageArea]])+Sales[[#This Row],[Mdl Res Intercept]]*Sales[[#This Row],[Res Adj ]],-2)</f>
        <v>628100</v>
      </c>
      <c r="CX184">
        <f>ROUND(Sales[[#This Row],[25Det]]*Sales[[#This Row],[Det/Nbhd Adj]],-2)</f>
        <v>0</v>
      </c>
      <c r="CY184">
        <f>Sales[[#This Row],[Adjusted Res]]+Sales[[#This Row],[Adj Det ]]</f>
        <v>628100</v>
      </c>
      <c r="CZ184">
        <f>ROUND((Sales[[#This Row],[Mdl Land Intercept]]+Sales[[#This Row],[Mdl LnAcres]])*Sales[[#This Row],[Det/Nbhd Adj]],-2)</f>
        <v>68600</v>
      </c>
      <c r="DA184">
        <f>Sales[[#This Row],[Adjusted Impr Total]]+Sales[[#This Row],[Adjusted Land Total]]</f>
        <v>696700</v>
      </c>
      <c r="DB184">
        <f>IFERROR((Sales[[#This Row],[Adjusted Impr Total]]-Sales[[#This Row],[24Bldg]])/Sales[[#This Row],[24Bldg]],0)</f>
        <v>0.33467913302167446</v>
      </c>
      <c r="DC184">
        <f>(Sales[[#This Row],[Adjusted Land Total]]-Sales[[#This Row],[24Lnd]])/Sales[[#This Row],[24Lnd]]</f>
        <v>-0.47473200612557426</v>
      </c>
      <c r="DD184">
        <f>(Sales[[#This Row],[Adjusted Total]]-Sales[[#This Row],[24Final]])/Sales[[#This Row],[24Final]]</f>
        <v>0.15884896872920826</v>
      </c>
      <c r="DE184">
        <f>(Sales[[#This Row],[Adjusted Total]]+Sales[[#This Row],[Days Prior Total]])/Sales[[#This Row],[Price]]</f>
        <v>0.86490862359999998</v>
      </c>
    </row>
    <row r="185" spans="1:109" x14ac:dyDescent="0.3">
      <c r="A185">
        <v>2025</v>
      </c>
      <c r="B185">
        <v>18131533500</v>
      </c>
      <c r="C185">
        <v>-0.94160853985844495</v>
      </c>
      <c r="D185">
        <v>0.39</v>
      </c>
      <c r="E185">
        <v>0</v>
      </c>
      <c r="F185">
        <v>5</v>
      </c>
      <c r="G185" t="s">
        <v>89</v>
      </c>
      <c r="H185">
        <v>3042</v>
      </c>
      <c r="I185" t="s">
        <v>302</v>
      </c>
      <c r="J185" t="s">
        <v>26</v>
      </c>
      <c r="K185">
        <v>11</v>
      </c>
      <c r="L185">
        <v>259</v>
      </c>
      <c r="M185" t="s">
        <v>188</v>
      </c>
      <c r="N185" t="s">
        <v>257</v>
      </c>
      <c r="O185" t="s">
        <v>207</v>
      </c>
      <c r="P185">
        <v>1945</v>
      </c>
      <c r="Q185">
        <v>1972</v>
      </c>
      <c r="R185">
        <v>80</v>
      </c>
      <c r="S185">
        <v>79</v>
      </c>
      <c r="T185">
        <v>52</v>
      </c>
      <c r="U185">
        <v>2</v>
      </c>
      <c r="V185">
        <v>1144</v>
      </c>
      <c r="W185">
        <v>300</v>
      </c>
      <c r="X185">
        <v>0</v>
      </c>
      <c r="Y185">
        <v>464</v>
      </c>
      <c r="Z185">
        <v>116</v>
      </c>
      <c r="AA185">
        <v>348</v>
      </c>
      <c r="AB185">
        <v>1560</v>
      </c>
      <c r="AC185">
        <v>2000</v>
      </c>
      <c r="AD185">
        <v>0</v>
      </c>
      <c r="AF185" t="s">
        <v>275</v>
      </c>
      <c r="AG185" t="s">
        <v>133</v>
      </c>
      <c r="AH185" t="s">
        <v>51</v>
      </c>
      <c r="AI185">
        <v>0</v>
      </c>
      <c r="AJ185">
        <v>0</v>
      </c>
      <c r="AK185">
        <v>0</v>
      </c>
      <c r="AL185">
        <v>1</v>
      </c>
      <c r="AM185">
        <v>0</v>
      </c>
      <c r="AN185">
        <v>8</v>
      </c>
      <c r="AO185">
        <v>0</v>
      </c>
      <c r="AP185">
        <v>0</v>
      </c>
      <c r="AQ185">
        <v>0</v>
      </c>
      <c r="AR185">
        <v>0</v>
      </c>
      <c r="AS185">
        <v>150</v>
      </c>
      <c r="AT185">
        <v>0</v>
      </c>
      <c r="AU185">
        <v>36</v>
      </c>
      <c r="AV185">
        <v>100</v>
      </c>
      <c r="AW185">
        <v>100</v>
      </c>
      <c r="AX185">
        <v>220601</v>
      </c>
      <c r="AY185">
        <v>169863</v>
      </c>
      <c r="AZ185">
        <v>791</v>
      </c>
      <c r="BA185">
        <v>365</v>
      </c>
      <c r="BB185">
        <v>365</v>
      </c>
      <c r="BC185">
        <v>61</v>
      </c>
      <c r="BD185" s="6">
        <v>44501</v>
      </c>
      <c r="BE185" t="s">
        <v>78</v>
      </c>
      <c r="BF185">
        <v>369000</v>
      </c>
      <c r="BG185">
        <v>336494</v>
      </c>
      <c r="BH185" t="s">
        <v>198</v>
      </c>
      <c r="BI185">
        <v>30</v>
      </c>
      <c r="BJ185" t="s">
        <v>51</v>
      </c>
      <c r="BK185" t="s">
        <v>314</v>
      </c>
      <c r="BL185">
        <v>452900</v>
      </c>
      <c r="BM185">
        <v>144900</v>
      </c>
      <c r="BN185">
        <v>308000</v>
      </c>
      <c r="BO185">
        <v>32506</v>
      </c>
      <c r="BP185">
        <v>1.2273712737127371</v>
      </c>
      <c r="BQ185">
        <v>362790.42986986547</v>
      </c>
      <c r="BR185">
        <v>404615.53597713879</v>
      </c>
      <c r="BS185" s="7">
        <f>(BR185-BL185)/BL185</f>
        <v>-0.10661175540486026</v>
      </c>
      <c r="BT185" s="14">
        <f>(Sales[[#This Row],[DP1]]*Lookups!$B$51)+(Sales[[#This Row],[DP2]]*Lookups!$B$52)+(Sales[[#This Row],[DP3]]*Lookups!$B$53)</f>
        <v>-41825.116710000002</v>
      </c>
      <c r="BU185" s="14">
        <f>Lookups!$B$48*0.5</f>
        <v>87214.824999999997</v>
      </c>
      <c r="BV185" s="14">
        <f>Lookups!$B$48*0.5</f>
        <v>87214.824999999997</v>
      </c>
      <c r="BW185" s="14">
        <f>Lookups!$B$49*Sales[[#This Row],[LnAcres]]</f>
        <v>-23566.433527862024</v>
      </c>
      <c r="BX185" s="14">
        <f>VLOOKUP(Sales[[#This Row],[Qlty]],Lookups!$A$54:$E$67,2,FALSE)</f>
        <v>0</v>
      </c>
      <c r="BY185" s="14">
        <f>VLOOKUP(Sales[[#This Row],[Cnd]],Lookups!$A$68:$E$76,2,FALSE)</f>
        <v>47273.897095</v>
      </c>
      <c r="BZ185" s="14">
        <f>Sales[[#This Row],[Age]]*Lookups!$B$77</f>
        <v>14576.481969999999</v>
      </c>
      <c r="CA185" s="14">
        <f>Sales[[#This Row],[MainFn]]*Lookups!$B$78</f>
        <v>79031.477096000002</v>
      </c>
      <c r="CB185" s="14">
        <f>Sales[[#This Row],[UpprFn]]*Lookups!$B$79</f>
        <v>18355.252500000002</v>
      </c>
      <c r="CC185" s="14">
        <f>Sales[[#This Row],[AddFn]]*Lookups!$B$80</f>
        <v>0</v>
      </c>
      <c r="CD185" s="14">
        <f>Sales[[#This Row],[Bsmt]]*Lookups!$B$81</f>
        <v>13274.417312</v>
      </c>
      <c r="CE185" s="14">
        <f>Sales[[#This Row],[Fixtures]]*Lookups!$B$84</f>
        <v>81240.800000000003</v>
      </c>
      <c r="CF185" s="14">
        <f>Sales[[#This Row],[MsnryFP]]*Lookups!$B$82</f>
        <v>0</v>
      </c>
      <c r="CG185" s="14">
        <f>Sales[[#This Row],[PrefabFP]]*Lookups!$B$83</f>
        <v>0</v>
      </c>
      <c r="CH185" s="14">
        <f>Sales[[#This Row],[GarageArea]]*Lookups!$B$85</f>
        <v>0</v>
      </c>
      <c r="CI185" s="14">
        <f>SUM(Sales[[#This Row],[Days Prior Total]:[Mdl GarageArea]])</f>
        <v>362790.42573513795</v>
      </c>
      <c r="CJ185" s="14">
        <f>ROUND(Sales[[#This Row],[25Det]],-2)</f>
        <v>32500</v>
      </c>
      <c r="CK185" s="14">
        <f>ROUND(SUM(Sales[[#This Row],[Mdl Qlty]:[Mdl GarageArea]])+Sales[[#This Row],[Mdl Res Intercept]]+Sales[[#This Row],[Days Prior Total]],-2)</f>
        <v>299100</v>
      </c>
      <c r="CL185" s="14">
        <f>ROUND(Sales[[#This Row],[Mdl Land Intercept]]+Sales[[#This Row],[Mdl LnAcres]],-2)</f>
        <v>63600</v>
      </c>
      <c r="CM185" s="14">
        <f>Sales[[#This Row],[Unadj Res Value]]+Sales[[#This Row],[Unadj Det Value]]+Sales[[#This Row],[Unadj Land Value]]</f>
        <v>395200</v>
      </c>
      <c r="CN185" s="15">
        <f>Sales[[#This Row],[Unadj Total Value]]/Sales[[#This Row],[Price]]</f>
        <v>1.0710027100271002</v>
      </c>
      <c r="CO185" s="15">
        <f>(Sales[[#This Row],[Unadj Total Value]]-Sales[[#This Row],[24Final]])/Sales[[#This Row],[24Final]]</f>
        <v>-0.12740119231618457</v>
      </c>
      <c r="CP185">
        <f>VLOOKUP(Sales[[#This Row],[TNbhd]],Lookups!$M$2:$P$4,4,FALSE)</f>
        <v>0.97570000000000001</v>
      </c>
      <c r="CQ185">
        <f>VLOOKUP(Sales[[#This Row],[Qlty]],Lookups!$M$6:$P$20,4,FALSE)</f>
        <v>1.0046999999999999</v>
      </c>
      <c r="CR185">
        <f>VLOOKUP(Sales[[#This Row],[Cnd]],Lookups!$R$6:$U$15,4,FALSE)</f>
        <v>0.97829999999999995</v>
      </c>
      <c r="CS185">
        <f>VLOOKUP(Sales[[#This Row],[LivArea Range]],Lookups!$R$23:$U$39,4,FALSE)</f>
        <v>0.99099999999999999</v>
      </c>
      <c r="CT185">
        <f>VLOOKUP(Sales[[#This Row],[Decade]],Lookups!$M$23:$P$35,4,FALSE)</f>
        <v>1.0236000000000001</v>
      </c>
      <c r="CU185">
        <f>Sales[[#This Row],[Nbhd Adj]]*0.95</f>
        <v>0.92691499999999993</v>
      </c>
      <c r="CV185">
        <f>Sales[[#This Row],[Nbhd Adj]]*Sales[[#This Row],[Quality Adj]]*Sales[[#This Row],[Condition Adj]]*Sales[[#This Row],[Living Area Adj]]*Sales[[#This Row],[Decade Adj]]*0.95</f>
        <v>0.92417091764780279</v>
      </c>
      <c r="CW185">
        <f>ROUND(SUM(Sales[[#This Row],[Mdl Qlty]:[Mdl GarageArea]])+Sales[[#This Row],[Mdl Res Intercept]]*Sales[[#This Row],[Res Adj ]],-2)</f>
        <v>334400</v>
      </c>
      <c r="CX185">
        <f>ROUND(Sales[[#This Row],[25Det]]*Sales[[#This Row],[Det/Nbhd Adj]],-2)</f>
        <v>30100</v>
      </c>
      <c r="CY185">
        <f>Sales[[#This Row],[Adjusted Res]]+Sales[[#This Row],[Adj Det ]]</f>
        <v>364500</v>
      </c>
      <c r="CZ185">
        <f>ROUND((Sales[[#This Row],[Mdl Land Intercept]]+Sales[[#This Row],[Mdl LnAcres]])*Sales[[#This Row],[Det/Nbhd Adj]],-2)</f>
        <v>59000</v>
      </c>
      <c r="DA185">
        <f>Sales[[#This Row],[Adjusted Impr Total]]+Sales[[#This Row],[Adjusted Land Total]]</f>
        <v>423500</v>
      </c>
      <c r="DB185">
        <f>IFERROR((Sales[[#This Row],[Adjusted Impr Total]]-Sales[[#This Row],[24Bldg]])/Sales[[#This Row],[24Bldg]],0)</f>
        <v>0.18344155844155843</v>
      </c>
      <c r="DC185">
        <f>(Sales[[#This Row],[Adjusted Land Total]]-Sales[[#This Row],[24Lnd]])/Sales[[#This Row],[24Lnd]]</f>
        <v>-0.59282263630089715</v>
      </c>
      <c r="DD185">
        <f>(Sales[[#This Row],[Adjusted Total]]-Sales[[#This Row],[24Final]])/Sales[[#This Row],[24Final]]</f>
        <v>-6.4914992272024727E-2</v>
      </c>
      <c r="DE185">
        <f>(Sales[[#This Row],[Adjusted Total]]+Sales[[#This Row],[Days Prior Total]])/Sales[[#This Row],[Price]]</f>
        <v>1.0343492772086722</v>
      </c>
    </row>
    <row r="186" spans="1:109" x14ac:dyDescent="0.3">
      <c r="A186">
        <v>2025</v>
      </c>
      <c r="B186">
        <v>18131534013</v>
      </c>
      <c r="C186">
        <v>-0.57981849525294205</v>
      </c>
      <c r="D186">
        <v>0.56000000000000005</v>
      </c>
      <c r="E186">
        <v>24204</v>
      </c>
      <c r="F186">
        <v>5</v>
      </c>
      <c r="G186" t="s">
        <v>89</v>
      </c>
      <c r="H186">
        <v>3042</v>
      </c>
      <c r="I186" t="s">
        <v>302</v>
      </c>
      <c r="J186" t="s">
        <v>109</v>
      </c>
      <c r="K186">
        <v>11</v>
      </c>
      <c r="L186">
        <v>259</v>
      </c>
      <c r="M186" t="s">
        <v>131</v>
      </c>
      <c r="N186" t="s">
        <v>205</v>
      </c>
      <c r="O186" t="s">
        <v>231</v>
      </c>
      <c r="P186">
        <v>1935</v>
      </c>
      <c r="Q186">
        <v>1971</v>
      </c>
      <c r="R186">
        <v>90</v>
      </c>
      <c r="S186">
        <v>89</v>
      </c>
      <c r="T186">
        <v>53</v>
      </c>
      <c r="U186">
        <v>2</v>
      </c>
      <c r="V186">
        <v>876</v>
      </c>
      <c r="W186">
        <v>292</v>
      </c>
      <c r="X186">
        <v>0</v>
      </c>
      <c r="Y186">
        <v>652</v>
      </c>
      <c r="Z186">
        <v>652</v>
      </c>
      <c r="AA186">
        <v>0</v>
      </c>
      <c r="AB186">
        <v>1820</v>
      </c>
      <c r="AC186">
        <v>2000</v>
      </c>
      <c r="AD186">
        <v>0</v>
      </c>
      <c r="AF186" t="s">
        <v>275</v>
      </c>
      <c r="AG186" t="s">
        <v>111</v>
      </c>
      <c r="AH186" t="s">
        <v>314</v>
      </c>
      <c r="AI186">
        <v>0</v>
      </c>
      <c r="AJ186">
        <v>1</v>
      </c>
      <c r="AK186">
        <v>0</v>
      </c>
      <c r="AL186">
        <v>0</v>
      </c>
      <c r="AM186">
        <v>0</v>
      </c>
      <c r="AN186">
        <v>6</v>
      </c>
      <c r="AO186">
        <v>0</v>
      </c>
      <c r="AP186">
        <v>0</v>
      </c>
      <c r="AQ186">
        <v>0</v>
      </c>
      <c r="AR186">
        <v>0</v>
      </c>
      <c r="AS186">
        <v>180</v>
      </c>
      <c r="AT186">
        <v>864</v>
      </c>
      <c r="AU186">
        <v>99</v>
      </c>
      <c r="AV186">
        <v>100</v>
      </c>
      <c r="AW186">
        <v>100</v>
      </c>
      <c r="AX186">
        <v>265587</v>
      </c>
      <c r="AY186">
        <v>180599</v>
      </c>
      <c r="AZ186">
        <v>860</v>
      </c>
      <c r="BA186">
        <v>365</v>
      </c>
      <c r="BB186">
        <v>365</v>
      </c>
      <c r="BC186">
        <v>130</v>
      </c>
      <c r="BD186" s="6">
        <v>44432</v>
      </c>
      <c r="BE186" t="s">
        <v>112</v>
      </c>
      <c r="BF186">
        <v>347500</v>
      </c>
      <c r="BG186">
        <v>340567</v>
      </c>
      <c r="BH186" t="s">
        <v>198</v>
      </c>
      <c r="BI186">
        <v>30</v>
      </c>
      <c r="BJ186" t="s">
        <v>51</v>
      </c>
      <c r="BK186" t="s">
        <v>314</v>
      </c>
      <c r="BL186">
        <v>371100</v>
      </c>
      <c r="BM186">
        <v>127600</v>
      </c>
      <c r="BN186">
        <v>243500</v>
      </c>
      <c r="BO186">
        <v>6933</v>
      </c>
      <c r="BP186">
        <v>1.0679136690647482</v>
      </c>
      <c r="BQ186">
        <v>266148.38991828944</v>
      </c>
      <c r="BR186">
        <v>329265.93335292663</v>
      </c>
      <c r="BS186" s="7">
        <f>(BR186-BL186)/BL186</f>
        <v>-0.11272990204007914</v>
      </c>
      <c r="BT186" s="14">
        <f>(Sales[[#This Row],[DP1]]*Lookups!$B$51)+(Sales[[#This Row],[DP2]]*Lookups!$B$52)+(Sales[[#This Row],[DP3]]*Lookups!$B$53)</f>
        <v>-63117.550710000003</v>
      </c>
      <c r="BU186" s="14">
        <f>Lookups!$B$48*0.5</f>
        <v>87214.824999999997</v>
      </c>
      <c r="BV186" s="14">
        <f>Lookups!$B$48*0.5</f>
        <v>87214.824999999997</v>
      </c>
      <c r="BW186" s="14">
        <f>Lookups!$B$49*Sales[[#This Row],[LnAcres]]</f>
        <v>-14511.608007142366</v>
      </c>
      <c r="BX186" s="14">
        <f>VLOOKUP(Sales[[#This Row],[Qlty]],Lookups!$A$54:$E$67,2,FALSE)</f>
        <v>30313.66692</v>
      </c>
      <c r="BY186" s="14">
        <f>VLOOKUP(Sales[[#This Row],[Cnd]],Lookups!$A$68:$E$76,2,FALSE)</f>
        <v>0</v>
      </c>
      <c r="BZ186" s="14">
        <f>Sales[[#This Row],[Age]]*Lookups!$B$77</f>
        <v>16421.60627</v>
      </c>
      <c r="CA186" s="14">
        <f>Sales[[#This Row],[MainFn]]*Lookups!$B$78</f>
        <v>60517.110084000007</v>
      </c>
      <c r="CB186" s="14">
        <f>Sales[[#This Row],[UpprFn]]*Lookups!$B$79</f>
        <v>17865.7791</v>
      </c>
      <c r="CC186" s="14">
        <f>Sales[[#This Row],[AddFn]]*Lookups!$B$80</f>
        <v>0</v>
      </c>
      <c r="CD186" s="14">
        <f>Sales[[#This Row],[Bsmt]]*Lookups!$B$81</f>
        <v>18652.845015999999</v>
      </c>
      <c r="CE186" s="14">
        <f>Sales[[#This Row],[Fixtures]]*Lookups!$B$84</f>
        <v>60930.600000000006</v>
      </c>
      <c r="CF186" s="14">
        <f>Sales[[#This Row],[MsnryFP]]*Lookups!$B$82</f>
        <v>25273.623</v>
      </c>
      <c r="CG186" s="14">
        <f>Sales[[#This Row],[PrefabFP]]*Lookups!$B$83</f>
        <v>0</v>
      </c>
      <c r="CH186" s="14">
        <f>Sales[[#This Row],[GarageArea]]*Lookups!$B$85</f>
        <v>0</v>
      </c>
      <c r="CI186" s="14">
        <f>SUM(Sales[[#This Row],[Days Prior Total]:[Mdl GarageArea]])</f>
        <v>326775.72167285765</v>
      </c>
      <c r="CJ186" s="14">
        <f>ROUND(Sales[[#This Row],[25Det]],-2)</f>
        <v>6900</v>
      </c>
      <c r="CK186" s="14">
        <f>ROUND(SUM(Sales[[#This Row],[Mdl Qlty]:[Mdl GarageArea]])+Sales[[#This Row],[Mdl Res Intercept]]+Sales[[#This Row],[Days Prior Total]],-2)</f>
        <v>254100</v>
      </c>
      <c r="CL186" s="14">
        <f>ROUND(Sales[[#This Row],[Mdl Land Intercept]]+Sales[[#This Row],[Mdl LnAcres]],-2)</f>
        <v>72700</v>
      </c>
      <c r="CM186" s="14">
        <f>Sales[[#This Row],[Unadj Res Value]]+Sales[[#This Row],[Unadj Det Value]]+Sales[[#This Row],[Unadj Land Value]]</f>
        <v>333700</v>
      </c>
      <c r="CN186" s="15">
        <f>Sales[[#This Row],[Unadj Total Value]]/Sales[[#This Row],[Price]]</f>
        <v>0.96028776978417263</v>
      </c>
      <c r="CO186" s="15">
        <f>(Sales[[#This Row],[Unadj Total Value]]-Sales[[#This Row],[24Final]])/Sales[[#This Row],[24Final]]</f>
        <v>-0.10078146052277014</v>
      </c>
      <c r="CP186">
        <f>VLOOKUP(Sales[[#This Row],[TNbhd]],Lookups!$M$2:$P$4,4,FALSE)</f>
        <v>0.97570000000000001</v>
      </c>
      <c r="CQ186">
        <f>VLOOKUP(Sales[[#This Row],[Qlty]],Lookups!$M$6:$P$20,4,FALSE)</f>
        <v>0.85299999999999998</v>
      </c>
      <c r="CR186">
        <f>VLOOKUP(Sales[[#This Row],[Cnd]],Lookups!$R$6:$U$15,4,FALSE)</f>
        <v>0.9677</v>
      </c>
      <c r="CS186">
        <f>VLOOKUP(Sales[[#This Row],[LivArea Range]],Lookups!$R$23:$U$39,4,FALSE)</f>
        <v>0.99099999999999999</v>
      </c>
      <c r="CT186">
        <f>VLOOKUP(Sales[[#This Row],[Decade]],Lookups!$M$23:$P$35,4,FALSE)</f>
        <v>1.0414000000000001</v>
      </c>
      <c r="CU186">
        <f>Sales[[#This Row],[Nbhd Adj]]*0.95</f>
        <v>0.92691499999999993</v>
      </c>
      <c r="CV186">
        <f>Sales[[#This Row],[Nbhd Adj]]*Sales[[#This Row],[Quality Adj]]*Sales[[#This Row],[Condition Adj]]*Sales[[#This Row],[Living Area Adj]]*Sales[[#This Row],[Decade Adj]]*0.95</f>
        <v>0.78962503712524967</v>
      </c>
      <c r="CW186">
        <f>ROUND(SUM(Sales[[#This Row],[Mdl Qlty]:[Mdl GarageArea]])+Sales[[#This Row],[Mdl Res Intercept]]*Sales[[#This Row],[Res Adj ]],-2)</f>
        <v>298800</v>
      </c>
      <c r="CX186">
        <f>ROUND(Sales[[#This Row],[25Det]]*Sales[[#This Row],[Det/Nbhd Adj]],-2)</f>
        <v>6400</v>
      </c>
      <c r="CY186">
        <f>Sales[[#This Row],[Adjusted Res]]+Sales[[#This Row],[Adj Det ]]</f>
        <v>305200</v>
      </c>
      <c r="CZ186">
        <f>ROUND((Sales[[#This Row],[Mdl Land Intercept]]+Sales[[#This Row],[Mdl LnAcres]])*Sales[[#This Row],[Det/Nbhd Adj]],-2)</f>
        <v>67400</v>
      </c>
      <c r="DA186">
        <f>Sales[[#This Row],[Adjusted Impr Total]]+Sales[[#This Row],[Adjusted Land Total]]</f>
        <v>372600</v>
      </c>
      <c r="DB186">
        <f>IFERROR((Sales[[#This Row],[Adjusted Impr Total]]-Sales[[#This Row],[24Bldg]])/Sales[[#This Row],[24Bldg]],0)</f>
        <v>0.253388090349076</v>
      </c>
      <c r="DC186">
        <f>(Sales[[#This Row],[Adjusted Land Total]]-Sales[[#This Row],[24Lnd]])/Sales[[#This Row],[24Lnd]]</f>
        <v>-0.47178683385579939</v>
      </c>
      <c r="DD186">
        <f>(Sales[[#This Row],[Adjusted Total]]-Sales[[#This Row],[24Final]])/Sales[[#This Row],[24Final]]</f>
        <v>4.0420371867421184E-3</v>
      </c>
      <c r="DE186">
        <f>(Sales[[#This Row],[Adjusted Total]]+Sales[[#This Row],[Days Prior Total]])/Sales[[#This Row],[Price]]</f>
        <v>0.89059697637410074</v>
      </c>
    </row>
    <row r="187" spans="1:109" x14ac:dyDescent="0.3">
      <c r="A187">
        <v>2025</v>
      </c>
      <c r="B187">
        <v>17132414415</v>
      </c>
      <c r="C187">
        <v>8.6177696241052412E-2</v>
      </c>
      <c r="D187">
        <v>1.0900000000000001</v>
      </c>
      <c r="E187">
        <v>47298</v>
      </c>
      <c r="F187">
        <v>1</v>
      </c>
      <c r="G187" t="s">
        <v>89</v>
      </c>
      <c r="H187">
        <v>3042</v>
      </c>
      <c r="I187" t="s">
        <v>302</v>
      </c>
      <c r="J187" t="s">
        <v>26</v>
      </c>
      <c r="K187">
        <v>11</v>
      </c>
      <c r="M187" t="s">
        <v>171</v>
      </c>
      <c r="N187" t="s">
        <v>257</v>
      </c>
      <c r="O187" t="s">
        <v>207</v>
      </c>
      <c r="P187">
        <v>1930</v>
      </c>
      <c r="Q187">
        <v>1970</v>
      </c>
      <c r="R187">
        <v>100</v>
      </c>
      <c r="S187">
        <v>94</v>
      </c>
      <c r="T187">
        <v>54</v>
      </c>
      <c r="U187">
        <v>1</v>
      </c>
      <c r="V187">
        <v>1008</v>
      </c>
      <c r="W187">
        <v>0</v>
      </c>
      <c r="X187">
        <v>0</v>
      </c>
      <c r="Y187">
        <v>504</v>
      </c>
      <c r="Z187">
        <v>0</v>
      </c>
      <c r="AA187">
        <v>504</v>
      </c>
      <c r="AB187">
        <v>1008</v>
      </c>
      <c r="AC187">
        <v>1500</v>
      </c>
      <c r="AD187">
        <v>0</v>
      </c>
      <c r="AF187" t="s">
        <v>275</v>
      </c>
      <c r="AG187" t="s">
        <v>111</v>
      </c>
      <c r="AH187" t="s">
        <v>314</v>
      </c>
      <c r="AI187">
        <v>0</v>
      </c>
      <c r="AJ187">
        <v>0</v>
      </c>
      <c r="AK187">
        <v>0</v>
      </c>
      <c r="AL187">
        <v>1</v>
      </c>
      <c r="AM187">
        <v>0</v>
      </c>
      <c r="AN187">
        <v>8</v>
      </c>
      <c r="AO187">
        <v>0</v>
      </c>
      <c r="AP187">
        <v>0</v>
      </c>
      <c r="AQ187">
        <v>0</v>
      </c>
      <c r="AR187">
        <v>0</v>
      </c>
      <c r="AS187">
        <v>632</v>
      </c>
      <c r="AT187">
        <v>0</v>
      </c>
      <c r="AU187">
        <v>0</v>
      </c>
      <c r="AV187">
        <v>100</v>
      </c>
      <c r="AW187">
        <v>100</v>
      </c>
      <c r="AX187">
        <v>191535</v>
      </c>
      <c r="AY187">
        <v>143651</v>
      </c>
      <c r="AZ187">
        <v>445</v>
      </c>
      <c r="BA187">
        <v>365</v>
      </c>
      <c r="BB187">
        <v>80</v>
      </c>
      <c r="BC187">
        <v>0</v>
      </c>
      <c r="BD187" s="6">
        <v>44847</v>
      </c>
      <c r="BE187" t="s">
        <v>56</v>
      </c>
      <c r="BF187">
        <v>320000</v>
      </c>
      <c r="BG187">
        <v>320000</v>
      </c>
      <c r="BH187" t="s">
        <v>250</v>
      </c>
      <c r="BI187">
        <v>30</v>
      </c>
      <c r="BJ187" t="s">
        <v>51</v>
      </c>
      <c r="BK187" t="s">
        <v>314</v>
      </c>
      <c r="BL187">
        <v>456600</v>
      </c>
      <c r="BM187">
        <v>165400</v>
      </c>
      <c r="BN187">
        <v>291200</v>
      </c>
      <c r="BO187">
        <v>0</v>
      </c>
      <c r="BP187">
        <v>1.4268749999999999</v>
      </c>
      <c r="BQ187">
        <v>356382.68914177961</v>
      </c>
      <c r="BR187">
        <v>406500.24186901975</v>
      </c>
      <c r="BS187" s="7">
        <f>(BR187-BL187)/BL187</f>
        <v>-0.10972351758865583</v>
      </c>
      <c r="BT187" s="14">
        <f>(Sales[[#This Row],[DP1]]*Lookups!$B$51)+(Sales[[#This Row],[DP2]]*Lookups!$B$52)+(Sales[[#This Row],[DP3]]*Lookups!$B$53)</f>
        <v>-50117.566320000005</v>
      </c>
      <c r="BU187" s="14">
        <f>Lookups!$B$48*0.5</f>
        <v>87214.824999999997</v>
      </c>
      <c r="BV187" s="14">
        <f>Lookups!$B$48*0.5</f>
        <v>87214.824999999997</v>
      </c>
      <c r="BW187" s="14">
        <f>Lookups!$B$49*Sales[[#This Row],[LnAcres]]</f>
        <v>2156.8421101558388</v>
      </c>
      <c r="BX187" s="14">
        <f>VLOOKUP(Sales[[#This Row],[Qlty]],Lookups!$A$54:$E$67,2,FALSE)</f>
        <v>0</v>
      </c>
      <c r="BY187" s="14">
        <f>VLOOKUP(Sales[[#This Row],[Cnd]],Lookups!$A$68:$E$76,2,FALSE)</f>
        <v>47273.897095</v>
      </c>
      <c r="BZ187" s="14">
        <f>Sales[[#This Row],[Age]]*Lookups!$B$77</f>
        <v>17344.168419999998</v>
      </c>
      <c r="CA187" s="14">
        <f>Sales[[#This Row],[MainFn]]*Lookups!$B$78</f>
        <v>69636.126671999999</v>
      </c>
      <c r="CB187" s="14">
        <f>Sales[[#This Row],[UpprFn]]*Lookups!$B$79</f>
        <v>0</v>
      </c>
      <c r="CC187" s="14">
        <f>Sales[[#This Row],[AddFn]]*Lookups!$B$80</f>
        <v>0</v>
      </c>
      <c r="CD187" s="14">
        <f>Sales[[#This Row],[Bsmt]]*Lookups!$B$81</f>
        <v>14418.763631999998</v>
      </c>
      <c r="CE187" s="14">
        <f>Sales[[#This Row],[Fixtures]]*Lookups!$B$84</f>
        <v>81240.800000000003</v>
      </c>
      <c r="CF187" s="14">
        <f>Sales[[#This Row],[MsnryFP]]*Lookups!$B$82</f>
        <v>0</v>
      </c>
      <c r="CG187" s="14">
        <f>Sales[[#This Row],[PrefabFP]]*Lookups!$B$83</f>
        <v>0</v>
      </c>
      <c r="CH187" s="14">
        <f>Sales[[#This Row],[GarageArea]]*Lookups!$B$85</f>
        <v>0</v>
      </c>
      <c r="CI187" s="14">
        <f>SUM(Sales[[#This Row],[Days Prior Total]:[Mdl GarageArea]])</f>
        <v>356382.68160915584</v>
      </c>
      <c r="CJ187" s="14">
        <f>ROUND(Sales[[#This Row],[25Det]],-2)</f>
        <v>0</v>
      </c>
      <c r="CK187" s="14">
        <f>ROUND(SUM(Sales[[#This Row],[Mdl Qlty]:[Mdl GarageArea]])+Sales[[#This Row],[Mdl Res Intercept]]+Sales[[#This Row],[Days Prior Total]],-2)</f>
        <v>267000</v>
      </c>
      <c r="CL187" s="14">
        <f>ROUND(Sales[[#This Row],[Mdl Land Intercept]]+Sales[[#This Row],[Mdl LnAcres]],-2)</f>
        <v>89400</v>
      </c>
      <c r="CM187" s="14">
        <f>Sales[[#This Row],[Unadj Res Value]]+Sales[[#This Row],[Unadj Det Value]]+Sales[[#This Row],[Unadj Land Value]]</f>
        <v>356400</v>
      </c>
      <c r="CN187" s="15">
        <f>Sales[[#This Row],[Unadj Total Value]]/Sales[[#This Row],[Price]]</f>
        <v>1.11375</v>
      </c>
      <c r="CO187" s="15">
        <f>(Sales[[#This Row],[Unadj Total Value]]-Sales[[#This Row],[24Final]])/Sales[[#This Row],[24Final]]</f>
        <v>-0.21944809461235218</v>
      </c>
      <c r="CP187">
        <f>VLOOKUP(Sales[[#This Row],[TNbhd]],Lookups!$M$2:$P$4,4,FALSE)</f>
        <v>0.97570000000000001</v>
      </c>
      <c r="CQ187">
        <f>VLOOKUP(Sales[[#This Row],[Qlty]],Lookups!$M$6:$P$20,4,FALSE)</f>
        <v>1.0046999999999999</v>
      </c>
      <c r="CR187">
        <f>VLOOKUP(Sales[[#This Row],[Cnd]],Lookups!$R$6:$U$15,4,FALSE)</f>
        <v>0.97829999999999995</v>
      </c>
      <c r="CS187">
        <f>VLOOKUP(Sales[[#This Row],[LivArea Range]],Lookups!$R$23:$U$39,4,FALSE)</f>
        <v>1.0062</v>
      </c>
      <c r="CT187">
        <f>VLOOKUP(Sales[[#This Row],[Decade]],Lookups!$M$23:$P$35,4,FALSE)</f>
        <v>0.89649999999999996</v>
      </c>
      <c r="CU187">
        <f>Sales[[#This Row],[Nbhd Adj]]*0.95</f>
        <v>0.92691499999999993</v>
      </c>
      <c r="CV187">
        <f>Sales[[#This Row],[Nbhd Adj]]*Sales[[#This Row],[Quality Adj]]*Sales[[#This Row],[Condition Adj]]*Sales[[#This Row],[Living Area Adj]]*Sales[[#This Row],[Decade Adj]]*0.95</f>
        <v>0.82183185883070431</v>
      </c>
      <c r="CW187">
        <f>ROUND(SUM(Sales[[#This Row],[Mdl Qlty]:[Mdl GarageArea]])+Sales[[#This Row],[Mdl Res Intercept]]*Sales[[#This Row],[Res Adj ]],-2)</f>
        <v>301600</v>
      </c>
      <c r="CX187">
        <f>ROUND(Sales[[#This Row],[25Det]]*Sales[[#This Row],[Det/Nbhd Adj]],-2)</f>
        <v>0</v>
      </c>
      <c r="CY187">
        <f>Sales[[#This Row],[Adjusted Res]]+Sales[[#This Row],[Adj Det ]]</f>
        <v>301600</v>
      </c>
      <c r="CZ187">
        <f>ROUND((Sales[[#This Row],[Mdl Land Intercept]]+Sales[[#This Row],[Mdl LnAcres]])*Sales[[#This Row],[Det/Nbhd Adj]],-2)</f>
        <v>82800</v>
      </c>
      <c r="DA187">
        <f>Sales[[#This Row],[Adjusted Impr Total]]+Sales[[#This Row],[Adjusted Land Total]]</f>
        <v>384400</v>
      </c>
      <c r="DB187">
        <f>IFERROR((Sales[[#This Row],[Adjusted Impr Total]]-Sales[[#This Row],[24Bldg]])/Sales[[#This Row],[24Bldg]],0)</f>
        <v>3.5714285714285712E-2</v>
      </c>
      <c r="DC187">
        <f>(Sales[[#This Row],[Adjusted Land Total]]-Sales[[#This Row],[24Lnd]])/Sales[[#This Row],[24Lnd]]</f>
        <v>-0.49939540507859737</v>
      </c>
      <c r="DD187">
        <f>(Sales[[#This Row],[Adjusted Total]]-Sales[[#This Row],[24Final]])/Sales[[#This Row],[24Final]]</f>
        <v>-0.15812527376259308</v>
      </c>
      <c r="DE187">
        <f>(Sales[[#This Row],[Adjusted Total]]+Sales[[#This Row],[Days Prior Total]])/Sales[[#This Row],[Price]]</f>
        <v>1.0446326052500001</v>
      </c>
    </row>
    <row r="188" spans="1:109" x14ac:dyDescent="0.3">
      <c r="A188">
        <v>2025</v>
      </c>
      <c r="B188">
        <v>18131744405</v>
      </c>
      <c r="C188">
        <v>-0.4780358009429998</v>
      </c>
      <c r="D188">
        <v>0.62</v>
      </c>
      <c r="E188">
        <v>27029</v>
      </c>
      <c r="F188">
        <v>5</v>
      </c>
      <c r="G188" t="s">
        <v>89</v>
      </c>
      <c r="H188">
        <v>3041</v>
      </c>
      <c r="I188" t="s">
        <v>302</v>
      </c>
      <c r="J188" t="s">
        <v>26</v>
      </c>
      <c r="K188">
        <v>11</v>
      </c>
      <c r="M188" t="s">
        <v>171</v>
      </c>
      <c r="N188" t="s">
        <v>205</v>
      </c>
      <c r="O188" t="s">
        <v>231</v>
      </c>
      <c r="P188">
        <v>1928</v>
      </c>
      <c r="Q188">
        <v>1969</v>
      </c>
      <c r="R188">
        <v>100</v>
      </c>
      <c r="S188">
        <v>96</v>
      </c>
      <c r="T188">
        <v>55</v>
      </c>
      <c r="U188">
        <v>1</v>
      </c>
      <c r="V188">
        <v>1386</v>
      </c>
      <c r="W188">
        <v>0</v>
      </c>
      <c r="X188">
        <v>0</v>
      </c>
      <c r="Y188">
        <v>1072</v>
      </c>
      <c r="Z188">
        <v>1072</v>
      </c>
      <c r="AA188">
        <v>0</v>
      </c>
      <c r="AB188">
        <v>2458</v>
      </c>
      <c r="AC188">
        <v>2500</v>
      </c>
      <c r="AD188">
        <v>0</v>
      </c>
      <c r="AF188" t="s">
        <v>275</v>
      </c>
      <c r="AG188" t="s">
        <v>111</v>
      </c>
      <c r="AH188" t="s">
        <v>314</v>
      </c>
      <c r="AI188">
        <v>0</v>
      </c>
      <c r="AJ188">
        <v>0</v>
      </c>
      <c r="AK188">
        <v>0</v>
      </c>
      <c r="AL188">
        <v>1</v>
      </c>
      <c r="AM188">
        <v>0</v>
      </c>
      <c r="AN188">
        <v>5</v>
      </c>
      <c r="AO188">
        <v>0</v>
      </c>
      <c r="AP188">
        <v>0</v>
      </c>
      <c r="AQ188">
        <v>0</v>
      </c>
      <c r="AR188">
        <v>0</v>
      </c>
      <c r="AS188">
        <v>320</v>
      </c>
      <c r="AT188">
        <v>0</v>
      </c>
      <c r="AU188">
        <v>0</v>
      </c>
      <c r="AV188">
        <v>100</v>
      </c>
      <c r="AW188">
        <v>100</v>
      </c>
      <c r="AX188">
        <v>333525</v>
      </c>
      <c r="AY188">
        <v>220127</v>
      </c>
      <c r="AZ188">
        <v>790</v>
      </c>
      <c r="BA188">
        <v>365</v>
      </c>
      <c r="BB188">
        <v>365</v>
      </c>
      <c r="BC188">
        <v>60</v>
      </c>
      <c r="BD188" s="6">
        <v>44502</v>
      </c>
      <c r="BE188" t="s">
        <v>317</v>
      </c>
      <c r="BF188">
        <v>335000</v>
      </c>
      <c r="BG188">
        <v>315711</v>
      </c>
      <c r="BH188" t="s">
        <v>198</v>
      </c>
      <c r="BI188">
        <v>30</v>
      </c>
      <c r="BJ188" t="s">
        <v>51</v>
      </c>
      <c r="BK188" t="s">
        <v>314</v>
      </c>
      <c r="BL188">
        <v>385100</v>
      </c>
      <c r="BM188">
        <v>133400</v>
      </c>
      <c r="BN188">
        <v>251700</v>
      </c>
      <c r="BO188">
        <v>19289</v>
      </c>
      <c r="BP188">
        <v>1.1495522388059702</v>
      </c>
      <c r="BQ188">
        <v>285542.10074967396</v>
      </c>
      <c r="BR188">
        <v>327058.62080872461</v>
      </c>
      <c r="BS188" s="7">
        <f>(BR188-BL188)/BL188</f>
        <v>-0.15071768161847673</v>
      </c>
      <c r="BT188" s="14">
        <f>(Sales[[#This Row],[DP1]]*Lookups!$B$51)+(Sales[[#This Row],[DP2]]*Lookups!$B$52)+(Sales[[#This Row],[DP3]]*Lookups!$B$53)</f>
        <v>-41516.530710000006</v>
      </c>
      <c r="BU188" s="14">
        <f>Lookups!$B$48*0.5</f>
        <v>87214.824999999997</v>
      </c>
      <c r="BV188" s="14">
        <f>Lookups!$B$48*0.5</f>
        <v>87214.824999999997</v>
      </c>
      <c r="BW188" s="14">
        <f>Lookups!$B$49*Sales[[#This Row],[LnAcres]]</f>
        <v>-11964.206408488055</v>
      </c>
      <c r="BX188" s="14">
        <f>VLOOKUP(Sales[[#This Row],[Qlty]],Lookups!$A$54:$E$67,2,FALSE)</f>
        <v>30313.66692</v>
      </c>
      <c r="BY188" s="14">
        <f>VLOOKUP(Sales[[#This Row],[Cnd]],Lookups!$A$68:$E$76,2,FALSE)</f>
        <v>0</v>
      </c>
      <c r="BZ188" s="14">
        <f>Sales[[#This Row],[Age]]*Lookups!$B$77</f>
        <v>17713.19328</v>
      </c>
      <c r="CA188" s="14">
        <f>Sales[[#This Row],[MainFn]]*Lookups!$B$78</f>
        <v>95749.674174</v>
      </c>
      <c r="CB188" s="14">
        <f>Sales[[#This Row],[UpprFn]]*Lookups!$B$79</f>
        <v>0</v>
      </c>
      <c r="CC188" s="14">
        <f>Sales[[#This Row],[AddFn]]*Lookups!$B$80</f>
        <v>0</v>
      </c>
      <c r="CD188" s="14">
        <f>Sales[[#This Row],[Bsmt]]*Lookups!$B$81</f>
        <v>30668.481376</v>
      </c>
      <c r="CE188" s="14">
        <f>Sales[[#This Row],[Fixtures]]*Lookups!$B$84</f>
        <v>50775.5</v>
      </c>
      <c r="CF188" s="14">
        <f>Sales[[#This Row],[MsnryFP]]*Lookups!$B$82</f>
        <v>0</v>
      </c>
      <c r="CG188" s="14">
        <f>Sales[[#This Row],[PrefabFP]]*Lookups!$B$83</f>
        <v>0</v>
      </c>
      <c r="CH188" s="14">
        <f>Sales[[#This Row],[GarageArea]]*Lookups!$B$85</f>
        <v>0</v>
      </c>
      <c r="CI188" s="14">
        <f>SUM(Sales[[#This Row],[Days Prior Total]:[Mdl GarageArea]])</f>
        <v>346169.42863151192</v>
      </c>
      <c r="CJ188" s="14">
        <f>ROUND(Sales[[#This Row],[25Det]],-2)</f>
        <v>19300</v>
      </c>
      <c r="CK188" s="14">
        <f>ROUND(SUM(Sales[[#This Row],[Mdl Qlty]:[Mdl GarageArea]])+Sales[[#This Row],[Mdl Res Intercept]]+Sales[[#This Row],[Days Prior Total]],-2)</f>
        <v>270900</v>
      </c>
      <c r="CL188" s="14">
        <f>ROUND(Sales[[#This Row],[Mdl Land Intercept]]+Sales[[#This Row],[Mdl LnAcres]],-2)</f>
        <v>75300</v>
      </c>
      <c r="CM188" s="14">
        <f>Sales[[#This Row],[Unadj Res Value]]+Sales[[#This Row],[Unadj Det Value]]+Sales[[#This Row],[Unadj Land Value]]</f>
        <v>365500</v>
      </c>
      <c r="CN188" s="15">
        <f>Sales[[#This Row],[Unadj Total Value]]/Sales[[#This Row],[Price]]</f>
        <v>1.0910447761194031</v>
      </c>
      <c r="CO188" s="15">
        <f>(Sales[[#This Row],[Unadj Total Value]]-Sales[[#This Row],[24Final]])/Sales[[#This Row],[24Final]]</f>
        <v>-5.0895871202285121E-2</v>
      </c>
      <c r="CP188">
        <f>VLOOKUP(Sales[[#This Row],[TNbhd]],Lookups!$M$2:$P$4,4,FALSE)</f>
        <v>0.97570000000000001</v>
      </c>
      <c r="CQ188">
        <f>VLOOKUP(Sales[[#This Row],[Qlty]],Lookups!$M$6:$P$20,4,FALSE)</f>
        <v>0.85299999999999998</v>
      </c>
      <c r="CR188">
        <f>VLOOKUP(Sales[[#This Row],[Cnd]],Lookups!$R$6:$U$15,4,FALSE)</f>
        <v>0.9677</v>
      </c>
      <c r="CS188">
        <f>VLOOKUP(Sales[[#This Row],[LivArea Range]],Lookups!$R$23:$U$39,4,FALSE)</f>
        <v>0.93440000000000001</v>
      </c>
      <c r="CT188">
        <f>VLOOKUP(Sales[[#This Row],[Decade]],Lookups!$M$23:$P$35,4,FALSE)</f>
        <v>0.89649999999999996</v>
      </c>
      <c r="CU188">
        <f>Sales[[#This Row],[Nbhd Adj]]*0.95</f>
        <v>0.92691499999999993</v>
      </c>
      <c r="CV188">
        <f>Sales[[#This Row],[Nbhd Adj]]*Sales[[#This Row],[Quality Adj]]*Sales[[#This Row],[Condition Adj]]*Sales[[#This Row],[Living Area Adj]]*Sales[[#This Row],[Decade Adj]]*0.95</f>
        <v>0.64093325574440718</v>
      </c>
      <c r="CW188">
        <f>ROUND(SUM(Sales[[#This Row],[Mdl Qlty]:[Mdl GarageArea]])+Sales[[#This Row],[Mdl Res Intercept]]*Sales[[#This Row],[Res Adj ]],-2)</f>
        <v>281100</v>
      </c>
      <c r="CX188">
        <f>ROUND(Sales[[#This Row],[25Det]]*Sales[[#This Row],[Det/Nbhd Adj]],-2)</f>
        <v>17900</v>
      </c>
      <c r="CY188">
        <f>Sales[[#This Row],[Adjusted Res]]+Sales[[#This Row],[Adj Det ]]</f>
        <v>299000</v>
      </c>
      <c r="CZ188">
        <f>ROUND((Sales[[#This Row],[Mdl Land Intercept]]+Sales[[#This Row],[Mdl LnAcres]])*Sales[[#This Row],[Det/Nbhd Adj]],-2)</f>
        <v>69800</v>
      </c>
      <c r="DA188">
        <f>Sales[[#This Row],[Adjusted Impr Total]]+Sales[[#This Row],[Adjusted Land Total]]</f>
        <v>368800</v>
      </c>
      <c r="DB188">
        <f>IFERROR((Sales[[#This Row],[Adjusted Impr Total]]-Sales[[#This Row],[24Bldg]])/Sales[[#This Row],[24Bldg]],0)</f>
        <v>0.18792212951926898</v>
      </c>
      <c r="DC188">
        <f>(Sales[[#This Row],[Adjusted Land Total]]-Sales[[#This Row],[24Lnd]])/Sales[[#This Row],[24Lnd]]</f>
        <v>-0.47676161919040477</v>
      </c>
      <c r="DD188">
        <f>(Sales[[#This Row],[Adjusted Total]]-Sales[[#This Row],[24Final]])/Sales[[#This Row],[24Final]]</f>
        <v>-4.2326668397818748E-2</v>
      </c>
      <c r="DE188">
        <f>(Sales[[#This Row],[Adjusted Total]]+Sales[[#This Row],[Days Prior Total]])/Sales[[#This Row],[Price]]</f>
        <v>0.97696557997014921</v>
      </c>
    </row>
    <row r="189" spans="1:109" x14ac:dyDescent="0.3">
      <c r="A189">
        <v>2025</v>
      </c>
      <c r="B189">
        <v>18131534012</v>
      </c>
      <c r="C189">
        <v>-0.6348782724359695</v>
      </c>
      <c r="D189">
        <v>0.53</v>
      </c>
      <c r="E189">
        <v>22885</v>
      </c>
      <c r="F189">
        <v>5</v>
      </c>
      <c r="G189" t="s">
        <v>89</v>
      </c>
      <c r="H189" t="s">
        <v>302</v>
      </c>
      <c r="I189" t="s">
        <v>302</v>
      </c>
      <c r="J189" t="s">
        <v>109</v>
      </c>
      <c r="K189">
        <v>11</v>
      </c>
      <c r="L189">
        <v>259</v>
      </c>
      <c r="M189" t="s">
        <v>131</v>
      </c>
      <c r="N189" t="s">
        <v>257</v>
      </c>
      <c r="O189" t="s">
        <v>231</v>
      </c>
      <c r="P189">
        <v>1925</v>
      </c>
      <c r="Q189">
        <v>1968</v>
      </c>
      <c r="R189">
        <v>100</v>
      </c>
      <c r="S189">
        <v>99</v>
      </c>
      <c r="T189">
        <v>56</v>
      </c>
      <c r="U189">
        <v>2</v>
      </c>
      <c r="V189">
        <v>1232</v>
      </c>
      <c r="W189">
        <v>400</v>
      </c>
      <c r="X189">
        <v>0</v>
      </c>
      <c r="Y189">
        <v>950</v>
      </c>
      <c r="Z189">
        <v>475</v>
      </c>
      <c r="AA189">
        <v>475</v>
      </c>
      <c r="AB189">
        <v>2107</v>
      </c>
      <c r="AC189">
        <v>2500</v>
      </c>
      <c r="AD189">
        <v>0</v>
      </c>
      <c r="AF189" t="s">
        <v>275</v>
      </c>
      <c r="AG189" t="s">
        <v>111</v>
      </c>
      <c r="AH189" t="s">
        <v>314</v>
      </c>
      <c r="AI189">
        <v>0</v>
      </c>
      <c r="AJ189">
        <v>1</v>
      </c>
      <c r="AK189">
        <v>0</v>
      </c>
      <c r="AL189">
        <v>1</v>
      </c>
      <c r="AM189">
        <v>1</v>
      </c>
      <c r="AN189">
        <v>10</v>
      </c>
      <c r="AO189">
        <v>0</v>
      </c>
      <c r="AP189">
        <v>0</v>
      </c>
      <c r="AQ189">
        <v>0</v>
      </c>
      <c r="AR189">
        <v>0</v>
      </c>
      <c r="AS189">
        <v>224</v>
      </c>
      <c r="AT189">
        <v>0</v>
      </c>
      <c r="AU189">
        <v>0</v>
      </c>
      <c r="AV189">
        <v>100</v>
      </c>
      <c r="AW189">
        <v>100</v>
      </c>
      <c r="AX189">
        <v>285753</v>
      </c>
      <c r="AY189">
        <v>185739</v>
      </c>
      <c r="AZ189">
        <v>75</v>
      </c>
      <c r="BA189">
        <v>75</v>
      </c>
      <c r="BB189">
        <v>0</v>
      </c>
      <c r="BC189">
        <v>0</v>
      </c>
      <c r="BD189" s="6">
        <v>45217</v>
      </c>
      <c r="BE189" t="s">
        <v>316</v>
      </c>
      <c r="BF189">
        <v>386000</v>
      </c>
      <c r="BG189">
        <v>373825</v>
      </c>
      <c r="BH189" t="s">
        <v>198</v>
      </c>
      <c r="BI189">
        <v>30</v>
      </c>
      <c r="BJ189" t="s">
        <v>51</v>
      </c>
      <c r="BK189" t="s">
        <v>314</v>
      </c>
      <c r="BL189">
        <v>412700</v>
      </c>
      <c r="BM189">
        <v>124500</v>
      </c>
      <c r="BN189">
        <v>288200</v>
      </c>
      <c r="BO189">
        <v>12175</v>
      </c>
      <c r="BP189">
        <v>1.0691709844559585</v>
      </c>
      <c r="BQ189">
        <v>428531.93028456531</v>
      </c>
      <c r="BR189">
        <v>440394.07748873794</v>
      </c>
      <c r="BS189" s="7">
        <f>(BR189-BL189)/BL189</f>
        <v>6.7104621974165099E-2</v>
      </c>
      <c r="BT189" s="14">
        <f>(Sales[[#This Row],[DP1]]*Lookups!$B$51)+(Sales[[#This Row],[DP2]]*Lookups!$B$52)+(Sales[[#This Row],[DP3]]*Lookups!$B$53)</f>
        <v>-11862.15</v>
      </c>
      <c r="BU189" s="14">
        <f>Lookups!$B$48*0.5</f>
        <v>87214.824999999997</v>
      </c>
      <c r="BV189" s="14">
        <f>Lookups!$B$48*0.5</f>
        <v>87214.824999999997</v>
      </c>
      <c r="BW189" s="14">
        <f>Lookups!$B$49*Sales[[#This Row],[LnAcres]]</f>
        <v>-15889.63563127349</v>
      </c>
      <c r="BX189" s="14">
        <f>VLOOKUP(Sales[[#This Row],[Qlty]],Lookups!$A$54:$E$67,2,FALSE)</f>
        <v>0</v>
      </c>
      <c r="BY189" s="14">
        <f>VLOOKUP(Sales[[#This Row],[Cnd]],Lookups!$A$68:$E$76,2,FALSE)</f>
        <v>0</v>
      </c>
      <c r="BZ189" s="14">
        <f>Sales[[#This Row],[Age]]*Lookups!$B$77</f>
        <v>18266.73057</v>
      </c>
      <c r="CA189" s="14">
        <f>Sales[[#This Row],[MainFn]]*Lookups!$B$78</f>
        <v>85110.821488000001</v>
      </c>
      <c r="CB189" s="14">
        <f>Sales[[#This Row],[UpprFn]]*Lookups!$B$79</f>
        <v>24473.670000000002</v>
      </c>
      <c r="CC189" s="14">
        <f>Sales[[#This Row],[AddFn]]*Lookups!$B$80</f>
        <v>0</v>
      </c>
      <c r="CD189" s="14">
        <f>Sales[[#This Row],[Bsmt]]*Lookups!$B$81</f>
        <v>27178.2251</v>
      </c>
      <c r="CE189" s="14">
        <f>Sales[[#This Row],[Fixtures]]*Lookups!$B$84</f>
        <v>101551</v>
      </c>
      <c r="CF189" s="14">
        <f>Sales[[#This Row],[MsnryFP]]*Lookups!$B$82</f>
        <v>25273.623</v>
      </c>
      <c r="CG189" s="14">
        <f>Sales[[#This Row],[PrefabFP]]*Lookups!$B$83</f>
        <v>0</v>
      </c>
      <c r="CH189" s="14">
        <f>Sales[[#This Row],[GarageArea]]*Lookups!$B$85</f>
        <v>0</v>
      </c>
      <c r="CI189" s="14">
        <f>SUM(Sales[[#This Row],[Days Prior Total]:[Mdl GarageArea]])</f>
        <v>428531.93452672649</v>
      </c>
      <c r="CJ189" s="14">
        <f>ROUND(Sales[[#This Row],[25Det]],-2)</f>
        <v>12200</v>
      </c>
      <c r="CK189" s="14">
        <f>ROUND(SUM(Sales[[#This Row],[Mdl Qlty]:[Mdl GarageArea]])+Sales[[#This Row],[Mdl Res Intercept]]+Sales[[#This Row],[Days Prior Total]],-2)</f>
        <v>357200</v>
      </c>
      <c r="CL189" s="14">
        <f>ROUND(Sales[[#This Row],[Mdl Land Intercept]]+Sales[[#This Row],[Mdl LnAcres]],-2)</f>
        <v>71300</v>
      </c>
      <c r="CM189" s="14">
        <f>Sales[[#This Row],[Unadj Res Value]]+Sales[[#This Row],[Unadj Det Value]]+Sales[[#This Row],[Unadj Land Value]]</f>
        <v>440700</v>
      </c>
      <c r="CN189" s="15">
        <f>Sales[[#This Row],[Unadj Total Value]]/Sales[[#This Row],[Price]]</f>
        <v>1.1417098445595855</v>
      </c>
      <c r="CO189" s="15">
        <f>(Sales[[#This Row],[Unadj Total Value]]-Sales[[#This Row],[24Final]])/Sales[[#This Row],[24Final]]</f>
        <v>6.7845892900411917E-2</v>
      </c>
      <c r="CP189">
        <f>VLOOKUP(Sales[[#This Row],[TNbhd]],Lookups!$M$2:$P$4,4,FALSE)</f>
        <v>0.97570000000000001</v>
      </c>
      <c r="CQ189">
        <f>VLOOKUP(Sales[[#This Row],[Qlty]],Lookups!$M$6:$P$20,4,FALSE)</f>
        <v>1.0046999999999999</v>
      </c>
      <c r="CR189">
        <f>VLOOKUP(Sales[[#This Row],[Cnd]],Lookups!$R$6:$U$15,4,FALSE)</f>
        <v>0.9677</v>
      </c>
      <c r="CS189">
        <f>VLOOKUP(Sales[[#This Row],[LivArea Range]],Lookups!$R$23:$U$39,4,FALSE)</f>
        <v>0.93440000000000001</v>
      </c>
      <c r="CT189">
        <f>VLOOKUP(Sales[[#This Row],[Decade]],Lookups!$M$23:$P$35,4,FALSE)</f>
        <v>0.89649999999999996</v>
      </c>
      <c r="CU189">
        <f>Sales[[#This Row],[Nbhd Adj]]*0.95</f>
        <v>0.92691499999999993</v>
      </c>
      <c r="CV189">
        <f>Sales[[#This Row],[Nbhd Adj]]*Sales[[#This Row],[Quality Adj]]*Sales[[#This Row],[Condition Adj]]*Sales[[#This Row],[Living Area Adj]]*Sales[[#This Row],[Decade Adj]]*0.95</f>
        <v>0.75491868938617335</v>
      </c>
      <c r="CW189">
        <f>ROUND(SUM(Sales[[#This Row],[Mdl Qlty]:[Mdl GarageArea]])+Sales[[#This Row],[Mdl Res Intercept]]*Sales[[#This Row],[Res Adj ]],-2)</f>
        <v>347700</v>
      </c>
      <c r="CX189">
        <f>ROUND(Sales[[#This Row],[25Det]]*Sales[[#This Row],[Det/Nbhd Adj]],-2)</f>
        <v>11300</v>
      </c>
      <c r="CY189">
        <f>Sales[[#This Row],[Adjusted Res]]+Sales[[#This Row],[Adj Det ]]</f>
        <v>359000</v>
      </c>
      <c r="CZ189">
        <f>ROUND((Sales[[#This Row],[Mdl Land Intercept]]+Sales[[#This Row],[Mdl LnAcres]])*Sales[[#This Row],[Det/Nbhd Adj]],-2)</f>
        <v>66100</v>
      </c>
      <c r="DA189">
        <f>Sales[[#This Row],[Adjusted Impr Total]]+Sales[[#This Row],[Adjusted Land Total]]</f>
        <v>425100</v>
      </c>
      <c r="DB189">
        <f>IFERROR((Sales[[#This Row],[Adjusted Impr Total]]-Sales[[#This Row],[24Bldg]])/Sales[[#This Row],[24Bldg]],0)</f>
        <v>0.24566273421235255</v>
      </c>
      <c r="DC189">
        <f>(Sales[[#This Row],[Adjusted Land Total]]-Sales[[#This Row],[24Lnd]])/Sales[[#This Row],[24Lnd]]</f>
        <v>-0.46907630522088356</v>
      </c>
      <c r="DD189">
        <f>(Sales[[#This Row],[Adjusted Total]]-Sales[[#This Row],[24Final]])/Sales[[#This Row],[24Final]]</f>
        <v>3.0046038284468137E-2</v>
      </c>
      <c r="DE189">
        <f>(Sales[[#This Row],[Adjusted Total]]+Sales[[#This Row],[Days Prior Total]])/Sales[[#This Row],[Price]]</f>
        <v>1.0705643782383418</v>
      </c>
    </row>
    <row r="190" spans="1:109" x14ac:dyDescent="0.3">
      <c r="A190">
        <v>2025</v>
      </c>
      <c r="B190">
        <v>18131633402</v>
      </c>
      <c r="C190">
        <v>-0.77652878949899629</v>
      </c>
      <c r="D190">
        <v>0.46</v>
      </c>
      <c r="E190">
        <v>20077</v>
      </c>
      <c r="F190">
        <v>5</v>
      </c>
      <c r="G190" t="s">
        <v>89</v>
      </c>
      <c r="H190">
        <v>3041</v>
      </c>
      <c r="I190" t="s">
        <v>302</v>
      </c>
      <c r="J190" t="s">
        <v>26</v>
      </c>
      <c r="K190">
        <v>11</v>
      </c>
      <c r="L190">
        <v>259</v>
      </c>
      <c r="M190" t="s">
        <v>171</v>
      </c>
      <c r="N190" t="s">
        <v>205</v>
      </c>
      <c r="O190" t="s">
        <v>231</v>
      </c>
      <c r="P190">
        <v>1923</v>
      </c>
      <c r="Q190">
        <v>1967</v>
      </c>
      <c r="R190">
        <v>110</v>
      </c>
      <c r="S190">
        <v>101</v>
      </c>
      <c r="T190">
        <v>57</v>
      </c>
      <c r="U190">
        <v>1</v>
      </c>
      <c r="V190">
        <v>1398</v>
      </c>
      <c r="W190">
        <v>0</v>
      </c>
      <c r="X190">
        <v>0</v>
      </c>
      <c r="Y190">
        <v>1398</v>
      </c>
      <c r="Z190">
        <v>1298</v>
      </c>
      <c r="AA190">
        <v>100</v>
      </c>
      <c r="AB190">
        <v>2696</v>
      </c>
      <c r="AC190">
        <v>3000</v>
      </c>
      <c r="AD190">
        <v>0</v>
      </c>
      <c r="AF190" t="s">
        <v>275</v>
      </c>
      <c r="AG190" t="s">
        <v>111</v>
      </c>
      <c r="AH190" t="s">
        <v>314</v>
      </c>
      <c r="AI190">
        <v>0</v>
      </c>
      <c r="AJ190">
        <v>1</v>
      </c>
      <c r="AK190">
        <v>0</v>
      </c>
      <c r="AL190">
        <v>1</v>
      </c>
      <c r="AM190">
        <v>0</v>
      </c>
      <c r="AN190">
        <v>12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765</v>
      </c>
      <c r="AU190">
        <v>405</v>
      </c>
      <c r="AV190">
        <v>100</v>
      </c>
      <c r="AW190">
        <v>100</v>
      </c>
      <c r="AX190">
        <v>371543</v>
      </c>
      <c r="AY190">
        <v>237788</v>
      </c>
      <c r="AZ190">
        <v>385</v>
      </c>
      <c r="BA190">
        <v>365</v>
      </c>
      <c r="BB190">
        <v>20</v>
      </c>
      <c r="BC190">
        <v>0</v>
      </c>
      <c r="BD190" s="6">
        <v>44907</v>
      </c>
      <c r="BE190" t="s">
        <v>315</v>
      </c>
      <c r="BF190">
        <v>314720</v>
      </c>
      <c r="BG190">
        <v>309978</v>
      </c>
      <c r="BH190" t="s">
        <v>198</v>
      </c>
      <c r="BI190">
        <v>30</v>
      </c>
      <c r="BJ190" t="s">
        <v>51</v>
      </c>
      <c r="BK190" t="s">
        <v>314</v>
      </c>
      <c r="BL190">
        <v>384500</v>
      </c>
      <c r="BM190">
        <v>116400</v>
      </c>
      <c r="BN190">
        <v>268100</v>
      </c>
      <c r="BO190">
        <v>4742</v>
      </c>
      <c r="BP190">
        <v>1.2217208947635994</v>
      </c>
      <c r="BQ190">
        <v>371199.06477821595</v>
      </c>
      <c r="BR190">
        <v>427025.290255256</v>
      </c>
      <c r="BS190" s="7">
        <f>(BR190-BL190)/BL190</f>
        <v>0.11059893434396878</v>
      </c>
      <c r="BT190" s="14">
        <f>(Sales[[#This Row],[DP1]]*Lookups!$B$51)+(Sales[[#This Row],[DP2]]*Lookups!$B$52)+(Sales[[#This Row],[DP3]]*Lookups!$B$53)</f>
        <v>-55826.239080000007</v>
      </c>
      <c r="BU190" s="14">
        <f>Lookups!$B$48*0.5</f>
        <v>87214.824999999997</v>
      </c>
      <c r="BV190" s="14">
        <f>Lookups!$B$48*0.5</f>
        <v>87214.824999999997</v>
      </c>
      <c r="BW190" s="14">
        <f>Lookups!$B$49*Sales[[#This Row],[LnAcres]]</f>
        <v>-19434.842958147296</v>
      </c>
      <c r="BX190" s="14">
        <f>VLOOKUP(Sales[[#This Row],[Qlty]],Lookups!$A$54:$E$67,2,FALSE)</f>
        <v>30313.66692</v>
      </c>
      <c r="BY190" s="14">
        <f>VLOOKUP(Sales[[#This Row],[Cnd]],Lookups!$A$68:$E$76,2,FALSE)</f>
        <v>0</v>
      </c>
      <c r="BZ190" s="14">
        <f>Sales[[#This Row],[Age]]*Lookups!$B$77</f>
        <v>18635.755430000001</v>
      </c>
      <c r="CA190" s="14">
        <f>Sales[[#This Row],[MainFn]]*Lookups!$B$78</f>
        <v>96578.675682000001</v>
      </c>
      <c r="CB190" s="14">
        <f>Sales[[#This Row],[UpprFn]]*Lookups!$B$79</f>
        <v>0</v>
      </c>
      <c r="CC190" s="14">
        <f>Sales[[#This Row],[AddFn]]*Lookups!$B$80</f>
        <v>0</v>
      </c>
      <c r="CD190" s="14">
        <f>Sales[[#This Row],[Bsmt]]*Lookups!$B$81</f>
        <v>39994.903883999999</v>
      </c>
      <c r="CE190" s="14">
        <f>Sales[[#This Row],[Fixtures]]*Lookups!$B$84</f>
        <v>121861.20000000001</v>
      </c>
      <c r="CF190" s="14">
        <f>Sales[[#This Row],[MsnryFP]]*Lookups!$B$82</f>
        <v>25273.623</v>
      </c>
      <c r="CG190" s="14">
        <f>Sales[[#This Row],[PrefabFP]]*Lookups!$B$83</f>
        <v>0</v>
      </c>
      <c r="CH190" s="14">
        <f>Sales[[#This Row],[GarageArea]]*Lookups!$B$85</f>
        <v>0</v>
      </c>
      <c r="CI190" s="14">
        <f>SUM(Sales[[#This Row],[Days Prior Total]:[Mdl GarageArea]])</f>
        <v>431826.39287785272</v>
      </c>
      <c r="CJ190" s="14">
        <f>ROUND(Sales[[#This Row],[25Det]],-2)</f>
        <v>4700</v>
      </c>
      <c r="CK190" s="14">
        <f>ROUND(SUM(Sales[[#This Row],[Mdl Qlty]:[Mdl GarageArea]])+Sales[[#This Row],[Mdl Res Intercept]]+Sales[[#This Row],[Days Prior Total]],-2)</f>
        <v>364000</v>
      </c>
      <c r="CL190" s="14">
        <f>ROUND(Sales[[#This Row],[Mdl Land Intercept]]+Sales[[#This Row],[Mdl LnAcres]],-2)</f>
        <v>67800</v>
      </c>
      <c r="CM190" s="14">
        <f>Sales[[#This Row],[Unadj Res Value]]+Sales[[#This Row],[Unadj Det Value]]+Sales[[#This Row],[Unadj Land Value]]</f>
        <v>436500</v>
      </c>
      <c r="CN190" s="15">
        <f>Sales[[#This Row],[Unadj Total Value]]/Sales[[#This Row],[Price]]</f>
        <v>1.3869471276054905</v>
      </c>
      <c r="CO190" s="15">
        <f>(Sales[[#This Row],[Unadj Total Value]]-Sales[[#This Row],[24Final]])/Sales[[#This Row],[24Final]]</f>
        <v>0.1352405721716515</v>
      </c>
      <c r="CP190">
        <f>VLOOKUP(Sales[[#This Row],[TNbhd]],Lookups!$M$2:$P$4,4,FALSE)</f>
        <v>0.97570000000000001</v>
      </c>
      <c r="CQ190">
        <f>VLOOKUP(Sales[[#This Row],[Qlty]],Lookups!$M$6:$P$20,4,FALSE)</f>
        <v>0.85299999999999998</v>
      </c>
      <c r="CR190">
        <f>VLOOKUP(Sales[[#This Row],[Cnd]],Lookups!$R$6:$U$15,4,FALSE)</f>
        <v>0.9677</v>
      </c>
      <c r="CS190">
        <f>VLOOKUP(Sales[[#This Row],[LivArea Range]],Lookups!$R$23:$U$39,4,FALSE)</f>
        <v>0.93310000000000004</v>
      </c>
      <c r="CT190">
        <f>VLOOKUP(Sales[[#This Row],[Decade]],Lookups!$M$23:$P$35,4,FALSE)</f>
        <v>0.82369999999999999</v>
      </c>
      <c r="CU190">
        <f>Sales[[#This Row],[Nbhd Adj]]*0.95</f>
        <v>0.92691499999999993</v>
      </c>
      <c r="CV190">
        <f>Sales[[#This Row],[Nbhd Adj]]*Sales[[#This Row],[Quality Adj]]*Sales[[#This Row],[Condition Adj]]*Sales[[#This Row],[Living Area Adj]]*Sales[[#This Row],[Decade Adj]]*0.95</f>
        <v>0.58806717429015121</v>
      </c>
      <c r="CW190">
        <f>ROUND(SUM(Sales[[#This Row],[Mdl Qlty]:[Mdl GarageArea]])+Sales[[#This Row],[Mdl Res Intercept]]*Sales[[#This Row],[Res Adj ]],-2)</f>
        <v>383900</v>
      </c>
      <c r="CX190">
        <f>ROUND(Sales[[#This Row],[25Det]]*Sales[[#This Row],[Det/Nbhd Adj]],-2)</f>
        <v>4400</v>
      </c>
      <c r="CY190">
        <f>Sales[[#This Row],[Adjusted Res]]+Sales[[#This Row],[Adj Det ]]</f>
        <v>388300</v>
      </c>
      <c r="CZ190">
        <f>ROUND((Sales[[#This Row],[Mdl Land Intercept]]+Sales[[#This Row],[Mdl LnAcres]])*Sales[[#This Row],[Det/Nbhd Adj]],-2)</f>
        <v>62800</v>
      </c>
      <c r="DA190">
        <f>Sales[[#This Row],[Adjusted Impr Total]]+Sales[[#This Row],[Adjusted Land Total]]</f>
        <v>451100</v>
      </c>
      <c r="DB190">
        <f>IFERROR((Sales[[#This Row],[Adjusted Impr Total]]-Sales[[#This Row],[24Bldg]])/Sales[[#This Row],[24Bldg]],0)</f>
        <v>0.44834017157776951</v>
      </c>
      <c r="DC190">
        <f>(Sales[[#This Row],[Adjusted Land Total]]-Sales[[#This Row],[24Lnd]])/Sales[[#This Row],[24Lnd]]</f>
        <v>-0.46048109965635736</v>
      </c>
      <c r="DD190">
        <f>(Sales[[#This Row],[Adjusted Total]]-Sales[[#This Row],[24Final]])/Sales[[#This Row],[24Final]]</f>
        <v>0.17321196358907673</v>
      </c>
      <c r="DE190">
        <f>(Sales[[#This Row],[Adjusted Total]]+Sales[[#This Row],[Days Prior Total]])/Sales[[#This Row],[Price]]</f>
        <v>1.2559537395780376</v>
      </c>
    </row>
    <row r="191" spans="1:109" x14ac:dyDescent="0.3">
      <c r="A191">
        <v>2025</v>
      </c>
      <c r="B191">
        <v>18131633402</v>
      </c>
      <c r="C191">
        <v>-0.77652878949899629</v>
      </c>
      <c r="D191">
        <v>0.46</v>
      </c>
      <c r="E191">
        <v>20077</v>
      </c>
      <c r="F191">
        <v>5</v>
      </c>
      <c r="G191" t="s">
        <v>89</v>
      </c>
      <c r="H191">
        <v>3041</v>
      </c>
      <c r="I191" t="s">
        <v>302</v>
      </c>
      <c r="J191" t="s">
        <v>26</v>
      </c>
      <c r="K191">
        <v>11</v>
      </c>
      <c r="L191">
        <v>259</v>
      </c>
      <c r="M191" t="s">
        <v>171</v>
      </c>
      <c r="N191" t="s">
        <v>205</v>
      </c>
      <c r="O191" t="s">
        <v>231</v>
      </c>
      <c r="P191">
        <v>1923</v>
      </c>
      <c r="Q191">
        <v>1967</v>
      </c>
      <c r="R191">
        <v>110</v>
      </c>
      <c r="S191">
        <v>101</v>
      </c>
      <c r="T191">
        <v>57</v>
      </c>
      <c r="U191">
        <v>1</v>
      </c>
      <c r="V191">
        <v>1398</v>
      </c>
      <c r="W191">
        <v>0</v>
      </c>
      <c r="X191">
        <v>0</v>
      </c>
      <c r="Y191">
        <v>1398</v>
      </c>
      <c r="Z191">
        <v>1298</v>
      </c>
      <c r="AA191">
        <v>100</v>
      </c>
      <c r="AB191">
        <v>2696</v>
      </c>
      <c r="AC191">
        <v>3000</v>
      </c>
      <c r="AD191">
        <v>0</v>
      </c>
      <c r="AF191" t="s">
        <v>275</v>
      </c>
      <c r="AG191" t="s">
        <v>111</v>
      </c>
      <c r="AH191" t="s">
        <v>314</v>
      </c>
      <c r="AI191">
        <v>0</v>
      </c>
      <c r="AJ191">
        <v>1</v>
      </c>
      <c r="AK191">
        <v>0</v>
      </c>
      <c r="AL191">
        <v>1</v>
      </c>
      <c r="AM191">
        <v>0</v>
      </c>
      <c r="AN191">
        <v>12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765</v>
      </c>
      <c r="AU191">
        <v>405</v>
      </c>
      <c r="AV191">
        <v>100</v>
      </c>
      <c r="AW191">
        <v>100</v>
      </c>
      <c r="AX191">
        <v>371543</v>
      </c>
      <c r="AY191">
        <v>237788</v>
      </c>
      <c r="AZ191">
        <v>248</v>
      </c>
      <c r="BA191">
        <v>248</v>
      </c>
      <c r="BB191">
        <v>0</v>
      </c>
      <c r="BC191">
        <v>0</v>
      </c>
      <c r="BD191" s="6">
        <v>45044</v>
      </c>
      <c r="BE191" t="s">
        <v>174</v>
      </c>
      <c r="BF191">
        <v>341000</v>
      </c>
      <c r="BG191">
        <v>336258</v>
      </c>
      <c r="BH191" t="s">
        <v>198</v>
      </c>
      <c r="BI191">
        <v>30</v>
      </c>
      <c r="BJ191" t="s">
        <v>51</v>
      </c>
      <c r="BK191" t="s">
        <v>314</v>
      </c>
      <c r="BL191">
        <v>384500</v>
      </c>
      <c r="BM191">
        <v>116400</v>
      </c>
      <c r="BN191">
        <v>268100</v>
      </c>
      <c r="BO191">
        <v>4742</v>
      </c>
      <c r="BP191">
        <v>1.1275659824046922</v>
      </c>
      <c r="BQ191">
        <v>387801.12350012525</v>
      </c>
      <c r="BR191">
        <v>427025.290255256</v>
      </c>
      <c r="BS191" s="7">
        <f>(BR191-BL191)/BL191</f>
        <v>0.11059893434396878</v>
      </c>
      <c r="BT191" s="14">
        <f>(Sales[[#This Row],[DP1]]*Lookups!$B$51)+(Sales[[#This Row],[DP2]]*Lookups!$B$52)+(Sales[[#This Row],[DP3]]*Lookups!$B$53)</f>
        <v>-39224.175999999999</v>
      </c>
      <c r="BU191" s="14">
        <f>Lookups!$B$48*0.5</f>
        <v>87214.824999999997</v>
      </c>
      <c r="BV191" s="14">
        <f>Lookups!$B$48*0.5</f>
        <v>87214.824999999997</v>
      </c>
      <c r="BW191" s="14">
        <f>Lookups!$B$49*Sales[[#This Row],[LnAcres]]</f>
        <v>-19434.842958147296</v>
      </c>
      <c r="BX191" s="14">
        <f>VLOOKUP(Sales[[#This Row],[Qlty]],Lookups!$A$54:$E$67,2,FALSE)</f>
        <v>30313.66692</v>
      </c>
      <c r="BY191" s="14">
        <f>VLOOKUP(Sales[[#This Row],[Cnd]],Lookups!$A$68:$E$76,2,FALSE)</f>
        <v>0</v>
      </c>
      <c r="BZ191" s="14">
        <f>Sales[[#This Row],[Age]]*Lookups!$B$77</f>
        <v>18635.755430000001</v>
      </c>
      <c r="CA191" s="14">
        <f>Sales[[#This Row],[MainFn]]*Lookups!$B$78</f>
        <v>96578.675682000001</v>
      </c>
      <c r="CB191" s="14">
        <f>Sales[[#This Row],[UpprFn]]*Lookups!$B$79</f>
        <v>0</v>
      </c>
      <c r="CC191" s="14">
        <f>Sales[[#This Row],[AddFn]]*Lookups!$B$80</f>
        <v>0</v>
      </c>
      <c r="CD191" s="14">
        <f>Sales[[#This Row],[Bsmt]]*Lookups!$B$81</f>
        <v>39994.903883999999</v>
      </c>
      <c r="CE191" s="14">
        <f>Sales[[#This Row],[Fixtures]]*Lookups!$B$84</f>
        <v>121861.20000000001</v>
      </c>
      <c r="CF191" s="14">
        <f>Sales[[#This Row],[MsnryFP]]*Lookups!$B$82</f>
        <v>25273.623</v>
      </c>
      <c r="CG191" s="14">
        <f>Sales[[#This Row],[PrefabFP]]*Lookups!$B$83</f>
        <v>0</v>
      </c>
      <c r="CH191" s="14">
        <f>Sales[[#This Row],[GarageArea]]*Lookups!$B$85</f>
        <v>0</v>
      </c>
      <c r="CI191" s="14">
        <f>SUM(Sales[[#This Row],[Days Prior Total]:[Mdl GarageArea]])</f>
        <v>448428.45595785271</v>
      </c>
      <c r="CJ191" s="14">
        <f>ROUND(Sales[[#This Row],[25Det]],-2)</f>
        <v>4700</v>
      </c>
      <c r="CK191" s="14">
        <f>ROUND(SUM(Sales[[#This Row],[Mdl Qlty]:[Mdl GarageArea]])+Sales[[#This Row],[Mdl Res Intercept]]+Sales[[#This Row],[Days Prior Total]],-2)</f>
        <v>380600</v>
      </c>
      <c r="CL191" s="14">
        <f>ROUND(Sales[[#This Row],[Mdl Land Intercept]]+Sales[[#This Row],[Mdl LnAcres]],-2)</f>
        <v>67800</v>
      </c>
      <c r="CM191" s="14">
        <f>Sales[[#This Row],[Unadj Res Value]]+Sales[[#This Row],[Unadj Det Value]]+Sales[[#This Row],[Unadj Land Value]]</f>
        <v>453100</v>
      </c>
      <c r="CN191" s="15">
        <f>Sales[[#This Row],[Unadj Total Value]]/Sales[[#This Row],[Price]]</f>
        <v>1.3287390029325514</v>
      </c>
      <c r="CO191" s="15">
        <f>(Sales[[#This Row],[Unadj Total Value]]-Sales[[#This Row],[24Final]])/Sales[[#This Row],[24Final]]</f>
        <v>0.17841352405721717</v>
      </c>
      <c r="CP191">
        <f>VLOOKUP(Sales[[#This Row],[TNbhd]],Lookups!$M$2:$P$4,4,FALSE)</f>
        <v>0.97570000000000001</v>
      </c>
      <c r="CQ191">
        <f>VLOOKUP(Sales[[#This Row],[Qlty]],Lookups!$M$6:$P$20,4,FALSE)</f>
        <v>0.85299999999999998</v>
      </c>
      <c r="CR191">
        <f>VLOOKUP(Sales[[#This Row],[Cnd]],Lookups!$R$6:$U$15,4,FALSE)</f>
        <v>0.9677</v>
      </c>
      <c r="CS191">
        <f>VLOOKUP(Sales[[#This Row],[LivArea Range]],Lookups!$R$23:$U$39,4,FALSE)</f>
        <v>0.93310000000000004</v>
      </c>
      <c r="CT191">
        <f>VLOOKUP(Sales[[#This Row],[Decade]],Lookups!$M$23:$P$35,4,FALSE)</f>
        <v>0.82369999999999999</v>
      </c>
      <c r="CU191">
        <f>Sales[[#This Row],[Nbhd Adj]]*0.95</f>
        <v>0.92691499999999993</v>
      </c>
      <c r="CV191">
        <f>Sales[[#This Row],[Nbhd Adj]]*Sales[[#This Row],[Quality Adj]]*Sales[[#This Row],[Condition Adj]]*Sales[[#This Row],[Living Area Adj]]*Sales[[#This Row],[Decade Adj]]*0.95</f>
        <v>0.58806717429015121</v>
      </c>
      <c r="CW191">
        <f>ROUND(SUM(Sales[[#This Row],[Mdl Qlty]:[Mdl GarageArea]])+Sales[[#This Row],[Mdl Res Intercept]]*Sales[[#This Row],[Res Adj ]],-2)</f>
        <v>383900</v>
      </c>
      <c r="CX191">
        <f>ROUND(Sales[[#This Row],[25Det]]*Sales[[#This Row],[Det/Nbhd Adj]],-2)</f>
        <v>4400</v>
      </c>
      <c r="CY191">
        <f>Sales[[#This Row],[Adjusted Res]]+Sales[[#This Row],[Adj Det ]]</f>
        <v>388300</v>
      </c>
      <c r="CZ191">
        <f>ROUND((Sales[[#This Row],[Mdl Land Intercept]]+Sales[[#This Row],[Mdl LnAcres]])*Sales[[#This Row],[Det/Nbhd Adj]],-2)</f>
        <v>62800</v>
      </c>
      <c r="DA191">
        <f>Sales[[#This Row],[Adjusted Impr Total]]+Sales[[#This Row],[Adjusted Land Total]]</f>
        <v>451100</v>
      </c>
      <c r="DB191">
        <f>IFERROR((Sales[[#This Row],[Adjusted Impr Total]]-Sales[[#This Row],[24Bldg]])/Sales[[#This Row],[24Bldg]],0)</f>
        <v>0.44834017157776951</v>
      </c>
      <c r="DC191">
        <f>(Sales[[#This Row],[Adjusted Land Total]]-Sales[[#This Row],[24Lnd]])/Sales[[#This Row],[24Lnd]]</f>
        <v>-0.46048109965635736</v>
      </c>
      <c r="DD191">
        <f>(Sales[[#This Row],[Adjusted Total]]-Sales[[#This Row],[24Final]])/Sales[[#This Row],[24Final]]</f>
        <v>0.17321196358907673</v>
      </c>
      <c r="DE191">
        <f>(Sales[[#This Row],[Adjusted Total]]+Sales[[#This Row],[Days Prior Total]])/Sales[[#This Row],[Price]]</f>
        <v>1.2078469912023462</v>
      </c>
    </row>
    <row r="192" spans="1:109" x14ac:dyDescent="0.3">
      <c r="A192">
        <v>2025</v>
      </c>
      <c r="B192">
        <v>18131533026</v>
      </c>
      <c r="C192">
        <v>-1.8325814637483102</v>
      </c>
      <c r="D192">
        <v>0.16</v>
      </c>
      <c r="E192">
        <v>7054</v>
      </c>
      <c r="F192">
        <v>5</v>
      </c>
      <c r="G192" t="s">
        <v>89</v>
      </c>
      <c r="H192">
        <v>3042</v>
      </c>
      <c r="I192" t="s">
        <v>302</v>
      </c>
      <c r="J192" t="s">
        <v>26</v>
      </c>
      <c r="K192">
        <v>11</v>
      </c>
      <c r="L192">
        <v>259</v>
      </c>
      <c r="M192" t="s">
        <v>171</v>
      </c>
      <c r="N192" t="s">
        <v>257</v>
      </c>
      <c r="O192" t="s">
        <v>231</v>
      </c>
      <c r="P192">
        <v>1920</v>
      </c>
      <c r="Q192">
        <v>1966</v>
      </c>
      <c r="R192">
        <v>110</v>
      </c>
      <c r="S192">
        <v>104</v>
      </c>
      <c r="T192">
        <v>58</v>
      </c>
      <c r="U192">
        <v>1</v>
      </c>
      <c r="V192">
        <v>1008</v>
      </c>
      <c r="W192">
        <v>0</v>
      </c>
      <c r="X192">
        <v>0</v>
      </c>
      <c r="Y192">
        <v>1008</v>
      </c>
      <c r="Z192">
        <v>504</v>
      </c>
      <c r="AA192">
        <v>504</v>
      </c>
      <c r="AB192">
        <v>1512</v>
      </c>
      <c r="AC192">
        <v>2000</v>
      </c>
      <c r="AD192">
        <v>0</v>
      </c>
      <c r="AF192" t="s">
        <v>153</v>
      </c>
      <c r="AG192" t="s">
        <v>111</v>
      </c>
      <c r="AI192">
        <v>0</v>
      </c>
      <c r="AJ192">
        <v>1</v>
      </c>
      <c r="AK192">
        <v>0</v>
      </c>
      <c r="AL192">
        <v>1</v>
      </c>
      <c r="AM192">
        <v>0</v>
      </c>
      <c r="AN192">
        <v>8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100</v>
      </c>
      <c r="AW192">
        <v>100</v>
      </c>
      <c r="AX192">
        <v>220588</v>
      </c>
      <c r="AY192">
        <v>138970</v>
      </c>
      <c r="AZ192">
        <v>356</v>
      </c>
      <c r="BA192">
        <v>356</v>
      </c>
      <c r="BB192">
        <v>0</v>
      </c>
      <c r="BC192">
        <v>0</v>
      </c>
      <c r="BD192" s="6">
        <v>44936</v>
      </c>
      <c r="BE192" t="s">
        <v>173</v>
      </c>
      <c r="BF192">
        <v>320000</v>
      </c>
      <c r="BG192">
        <v>320000</v>
      </c>
      <c r="BH192" t="s">
        <v>198</v>
      </c>
      <c r="BI192">
        <v>30</v>
      </c>
      <c r="BJ192" t="s">
        <v>51</v>
      </c>
      <c r="BK192" t="s">
        <v>314</v>
      </c>
      <c r="BL192">
        <v>281500</v>
      </c>
      <c r="BM192">
        <v>56400</v>
      </c>
      <c r="BN192">
        <v>225100</v>
      </c>
      <c r="BO192">
        <v>0</v>
      </c>
      <c r="BP192">
        <v>0.87968749999999996</v>
      </c>
      <c r="BQ192">
        <v>296435.78784942767</v>
      </c>
      <c r="BR192">
        <v>352741.44657856692</v>
      </c>
      <c r="BS192" s="7">
        <f>(BR192-BL192)/BL192</f>
        <v>0.25307796297892332</v>
      </c>
      <c r="BT192" s="14">
        <f>(Sales[[#This Row],[DP1]]*Lookups!$B$51)+(Sales[[#This Row],[DP2]]*Lookups!$B$52)+(Sales[[#This Row],[DP3]]*Lookups!$B$53)</f>
        <v>-56305.671999999999</v>
      </c>
      <c r="BU192" s="14">
        <f>Lookups!$B$48*0.5</f>
        <v>87214.824999999997</v>
      </c>
      <c r="BV192" s="14">
        <f>Lookups!$B$48*0.5</f>
        <v>87214.824999999997</v>
      </c>
      <c r="BW192" s="14">
        <f>Lookups!$B$49*Sales[[#This Row],[LnAcres]]</f>
        <v>-45865.56665714729</v>
      </c>
      <c r="BX192" s="14">
        <f>VLOOKUP(Sales[[#This Row],[Qlty]],Lookups!$A$54:$E$67,2,FALSE)</f>
        <v>0</v>
      </c>
      <c r="BY192" s="14">
        <f>VLOOKUP(Sales[[#This Row],[Cnd]],Lookups!$A$68:$E$76,2,FALSE)</f>
        <v>0</v>
      </c>
      <c r="BZ192" s="14">
        <f>Sales[[#This Row],[Age]]*Lookups!$B$77</f>
        <v>19189.292719999998</v>
      </c>
      <c r="CA192" s="14">
        <f>Sales[[#This Row],[MainFn]]*Lookups!$B$78</f>
        <v>69636.126671999999</v>
      </c>
      <c r="CB192" s="14">
        <f>Sales[[#This Row],[UpprFn]]*Lookups!$B$79</f>
        <v>0</v>
      </c>
      <c r="CC192" s="14">
        <f>Sales[[#This Row],[AddFn]]*Lookups!$B$80</f>
        <v>0</v>
      </c>
      <c r="CD192" s="14">
        <f>Sales[[#This Row],[Bsmt]]*Lookups!$B$81</f>
        <v>28837.527263999997</v>
      </c>
      <c r="CE192" s="14">
        <f>Sales[[#This Row],[Fixtures]]*Lookups!$B$84</f>
        <v>81240.800000000003</v>
      </c>
      <c r="CF192" s="14">
        <f>Sales[[#This Row],[MsnryFP]]*Lookups!$B$82</f>
        <v>25273.623</v>
      </c>
      <c r="CG192" s="14">
        <f>Sales[[#This Row],[PrefabFP]]*Lookups!$B$83</f>
        <v>0</v>
      </c>
      <c r="CH192" s="14">
        <f>Sales[[#This Row],[GarageArea]]*Lookups!$B$85</f>
        <v>0</v>
      </c>
      <c r="CI192" s="14">
        <f>SUM(Sales[[#This Row],[Days Prior Total]:[Mdl GarageArea]])</f>
        <v>296435.78099885274</v>
      </c>
      <c r="CJ192" s="14">
        <f>ROUND(Sales[[#This Row],[25Det]],-2)</f>
        <v>0</v>
      </c>
      <c r="CK192" s="14">
        <f>ROUND(SUM(Sales[[#This Row],[Mdl Qlty]:[Mdl GarageArea]])+Sales[[#This Row],[Mdl Res Intercept]]+Sales[[#This Row],[Days Prior Total]],-2)</f>
        <v>255100</v>
      </c>
      <c r="CL192" s="14">
        <f>ROUND(Sales[[#This Row],[Mdl Land Intercept]]+Sales[[#This Row],[Mdl LnAcres]],-2)</f>
        <v>41300</v>
      </c>
      <c r="CM192" s="14">
        <f>Sales[[#This Row],[Unadj Res Value]]+Sales[[#This Row],[Unadj Det Value]]+Sales[[#This Row],[Unadj Land Value]]</f>
        <v>296400</v>
      </c>
      <c r="CN192" s="15">
        <f>Sales[[#This Row],[Unadj Total Value]]/Sales[[#This Row],[Price]]</f>
        <v>0.92625000000000002</v>
      </c>
      <c r="CO192" s="15">
        <f>(Sales[[#This Row],[Unadj Total Value]]-Sales[[#This Row],[24Final]])/Sales[[#This Row],[24Final]]</f>
        <v>5.2930728241563058E-2</v>
      </c>
      <c r="CP192">
        <f>VLOOKUP(Sales[[#This Row],[TNbhd]],Lookups!$M$2:$P$4,4,FALSE)</f>
        <v>0.97570000000000001</v>
      </c>
      <c r="CQ192">
        <f>VLOOKUP(Sales[[#This Row],[Qlty]],Lookups!$M$6:$P$20,4,FALSE)</f>
        <v>1.0046999999999999</v>
      </c>
      <c r="CR192">
        <f>VLOOKUP(Sales[[#This Row],[Cnd]],Lookups!$R$6:$U$15,4,FALSE)</f>
        <v>0.9677</v>
      </c>
      <c r="CS192">
        <f>VLOOKUP(Sales[[#This Row],[LivArea Range]],Lookups!$R$23:$U$39,4,FALSE)</f>
        <v>0.99099999999999999</v>
      </c>
      <c r="CT192">
        <f>VLOOKUP(Sales[[#This Row],[Decade]],Lookups!$M$23:$P$35,4,FALSE)</f>
        <v>0.82369999999999999</v>
      </c>
      <c r="CU192">
        <f>Sales[[#This Row],[Nbhd Adj]]*0.95</f>
        <v>0.92691499999999993</v>
      </c>
      <c r="CV192">
        <f>Sales[[#This Row],[Nbhd Adj]]*Sales[[#This Row],[Quality Adj]]*Sales[[#This Row],[Condition Adj]]*Sales[[#This Row],[Living Area Adj]]*Sales[[#This Row],[Decade Adj]]*0.95</f>
        <v>0.7356305793068989</v>
      </c>
      <c r="CW192">
        <f>ROUND(SUM(Sales[[#This Row],[Mdl Qlty]:[Mdl GarageArea]])+Sales[[#This Row],[Mdl Res Intercept]]*Sales[[#This Row],[Res Adj ]],-2)</f>
        <v>288300</v>
      </c>
      <c r="CX192">
        <f>ROUND(Sales[[#This Row],[25Det]]*Sales[[#This Row],[Det/Nbhd Adj]],-2)</f>
        <v>0</v>
      </c>
      <c r="CY192">
        <f>Sales[[#This Row],[Adjusted Res]]+Sales[[#This Row],[Adj Det ]]</f>
        <v>288300</v>
      </c>
      <c r="CZ192">
        <f>ROUND((Sales[[#This Row],[Mdl Land Intercept]]+Sales[[#This Row],[Mdl LnAcres]])*Sales[[#This Row],[Det/Nbhd Adj]],-2)</f>
        <v>38300</v>
      </c>
      <c r="DA192">
        <f>Sales[[#This Row],[Adjusted Impr Total]]+Sales[[#This Row],[Adjusted Land Total]]</f>
        <v>326600</v>
      </c>
      <c r="DB192">
        <f>IFERROR((Sales[[#This Row],[Adjusted Impr Total]]-Sales[[#This Row],[24Bldg]])/Sales[[#This Row],[24Bldg]],0)</f>
        <v>0.28076410484229231</v>
      </c>
      <c r="DC192">
        <f>(Sales[[#This Row],[Adjusted Land Total]]-Sales[[#This Row],[24Lnd]])/Sales[[#This Row],[24Lnd]]</f>
        <v>-0.32092198581560283</v>
      </c>
      <c r="DD192">
        <f>(Sales[[#This Row],[Adjusted Total]]-Sales[[#This Row],[24Final]])/Sales[[#This Row],[24Final]]</f>
        <v>0.16021314387211369</v>
      </c>
      <c r="DE192">
        <f>(Sales[[#This Row],[Adjusted Total]]+Sales[[#This Row],[Days Prior Total]])/Sales[[#This Row],[Price]]</f>
        <v>0.84466977499999996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A1061-0CD6-481B-AC8F-69233953A493}">
  <dimension ref="A1:DB24"/>
  <sheetViews>
    <sheetView topLeftCell="CE1" workbookViewId="0">
      <selection activeCell="CJ15" sqref="CJ15"/>
    </sheetView>
  </sheetViews>
  <sheetFormatPr defaultRowHeight="14.4" x14ac:dyDescent="0.3"/>
  <sheetData>
    <row r="1" spans="1:106" ht="57.6" x14ac:dyDescent="0.3">
      <c r="A1" t="s">
        <v>85</v>
      </c>
      <c r="B1" t="s">
        <v>294</v>
      </c>
      <c r="C1" t="s">
        <v>184</v>
      </c>
      <c r="D1" t="s">
        <v>252</v>
      </c>
      <c r="E1" t="s">
        <v>0</v>
      </c>
      <c r="F1" t="s">
        <v>86</v>
      </c>
      <c r="G1" t="s">
        <v>226</v>
      </c>
      <c r="H1" t="s">
        <v>70</v>
      </c>
      <c r="I1" t="s">
        <v>43</v>
      </c>
      <c r="J1" t="s">
        <v>227</v>
      </c>
      <c r="K1" t="s">
        <v>126</v>
      </c>
      <c r="L1" t="s">
        <v>18</v>
      </c>
      <c r="M1" t="s">
        <v>127</v>
      </c>
      <c r="N1" t="s">
        <v>185</v>
      </c>
      <c r="O1" t="s">
        <v>87</v>
      </c>
      <c r="P1" t="s">
        <v>107</v>
      </c>
      <c r="Q1" t="s">
        <v>269</v>
      </c>
      <c r="R1" t="s">
        <v>44</v>
      </c>
      <c r="S1" t="s">
        <v>71</v>
      </c>
      <c r="T1" t="s">
        <v>295</v>
      </c>
      <c r="U1" t="s">
        <v>19</v>
      </c>
      <c r="V1" t="s">
        <v>166</v>
      </c>
      <c r="W1" t="s">
        <v>149</v>
      </c>
      <c r="X1" t="s">
        <v>270</v>
      </c>
      <c r="Y1" t="s">
        <v>167</v>
      </c>
      <c r="Z1" t="s">
        <v>45</v>
      </c>
      <c r="AA1" t="s">
        <v>1</v>
      </c>
      <c r="AB1" t="s">
        <v>228</v>
      </c>
      <c r="AC1" t="s">
        <v>168</v>
      </c>
      <c r="AD1" t="s">
        <v>128</v>
      </c>
      <c r="AE1" t="s">
        <v>150</v>
      </c>
      <c r="AF1" t="s">
        <v>312</v>
      </c>
      <c r="AG1" t="s">
        <v>20</v>
      </c>
      <c r="AH1" t="s">
        <v>253</v>
      </c>
      <c r="AI1" t="s">
        <v>46</v>
      </c>
      <c r="AJ1" t="s">
        <v>199</v>
      </c>
      <c r="AK1" t="s">
        <v>296</v>
      </c>
      <c r="AL1" t="s">
        <v>229</v>
      </c>
      <c r="AM1" t="s">
        <v>200</v>
      </c>
      <c r="AN1" t="s">
        <v>21</v>
      </c>
      <c r="AO1" t="s">
        <v>88</v>
      </c>
      <c r="AP1" t="s">
        <v>271</v>
      </c>
      <c r="AQ1" t="s">
        <v>108</v>
      </c>
      <c r="AR1" t="s">
        <v>72</v>
      </c>
      <c r="AS1" t="s">
        <v>297</v>
      </c>
      <c r="AT1" t="s">
        <v>254</v>
      </c>
      <c r="AU1" t="s">
        <v>186</v>
      </c>
      <c r="AV1" t="s">
        <v>22</v>
      </c>
      <c r="AW1" t="s">
        <v>169</v>
      </c>
      <c r="AX1" t="s">
        <v>2</v>
      </c>
      <c r="AY1" t="s">
        <v>298</v>
      </c>
      <c r="AZ1" t="s">
        <v>23</v>
      </c>
      <c r="BA1" t="s">
        <v>299</v>
      </c>
      <c r="BB1" t="s">
        <v>47</v>
      </c>
      <c r="BC1" t="s">
        <v>129</v>
      </c>
      <c r="BD1" t="s">
        <v>272</v>
      </c>
      <c r="BE1" t="s">
        <v>300</v>
      </c>
      <c r="BF1" t="s">
        <v>301</v>
      </c>
      <c r="BG1" t="s">
        <v>24</v>
      </c>
      <c r="BH1" t="s">
        <v>201</v>
      </c>
      <c r="BI1" t="s">
        <v>202</v>
      </c>
      <c r="BJ1" t="s">
        <v>3</v>
      </c>
      <c r="BK1" t="s">
        <v>73</v>
      </c>
      <c r="BL1" t="s">
        <v>48</v>
      </c>
      <c r="BM1" t="s">
        <v>74</v>
      </c>
      <c r="BN1" t="s">
        <v>170</v>
      </c>
      <c r="BO1" t="s">
        <v>130</v>
      </c>
      <c r="BP1" t="s">
        <v>187</v>
      </c>
      <c r="BQ1" t="s">
        <v>255</v>
      </c>
      <c r="BR1" t="s">
        <v>151</v>
      </c>
      <c r="BS1" s="7" t="s">
        <v>329</v>
      </c>
      <c r="BT1" s="12" t="s">
        <v>346</v>
      </c>
      <c r="BU1" s="12" t="s">
        <v>347</v>
      </c>
      <c r="BV1" s="12" t="s">
        <v>348</v>
      </c>
      <c r="BW1" s="12" t="s">
        <v>349</v>
      </c>
      <c r="BX1" s="12" t="s">
        <v>350</v>
      </c>
      <c r="BY1" s="12" t="s">
        <v>351</v>
      </c>
      <c r="BZ1" s="12" t="s">
        <v>352</v>
      </c>
      <c r="CA1" s="12" t="s">
        <v>353</v>
      </c>
      <c r="CB1" s="12" t="s">
        <v>354</v>
      </c>
      <c r="CC1" s="12" t="s">
        <v>355</v>
      </c>
      <c r="CD1" s="12" t="s">
        <v>356</v>
      </c>
      <c r="CE1" s="12" t="s">
        <v>357</v>
      </c>
      <c r="CF1" s="12" t="s">
        <v>358</v>
      </c>
      <c r="CG1" s="12" t="s">
        <v>359</v>
      </c>
      <c r="CH1" s="12" t="s">
        <v>360</v>
      </c>
      <c r="CI1" s="12" t="s">
        <v>361</v>
      </c>
      <c r="CJ1" s="12" t="s">
        <v>362</v>
      </c>
      <c r="CK1" s="13" t="s">
        <v>363</v>
      </c>
      <c r="CL1" s="13" t="s">
        <v>364</v>
      </c>
      <c r="CM1" s="12" t="s">
        <v>365</v>
      </c>
      <c r="CN1" s="12" t="s">
        <v>366</v>
      </c>
      <c r="CO1" s="12" t="s">
        <v>367</v>
      </c>
      <c r="CP1" s="12" t="s">
        <v>368</v>
      </c>
      <c r="CQ1" s="12" t="s">
        <v>369</v>
      </c>
      <c r="CR1" s="12" t="s">
        <v>370</v>
      </c>
      <c r="CS1" s="12" t="s">
        <v>371</v>
      </c>
      <c r="CT1" s="12" t="s">
        <v>372</v>
      </c>
      <c r="CU1" s="12" t="s">
        <v>373</v>
      </c>
      <c r="CV1" s="12" t="s">
        <v>374</v>
      </c>
      <c r="CW1" s="12" t="s">
        <v>375</v>
      </c>
      <c r="CX1" s="12" t="s">
        <v>376</v>
      </c>
      <c r="CY1" s="13" t="s">
        <v>377</v>
      </c>
      <c r="CZ1" s="13" t="s">
        <v>378</v>
      </c>
      <c r="DA1" s="13" t="s">
        <v>379</v>
      </c>
      <c r="DB1" s="13" t="s">
        <v>380</v>
      </c>
    </row>
    <row r="2" spans="1:106" x14ac:dyDescent="0.3">
      <c r="A2">
        <v>2025</v>
      </c>
      <c r="B2" s="2">
        <v>18131642418</v>
      </c>
      <c r="C2">
        <v>-0.86750056770472306</v>
      </c>
      <c r="D2">
        <v>0.42</v>
      </c>
      <c r="E2">
        <v>18447</v>
      </c>
      <c r="F2">
        <v>5</v>
      </c>
      <c r="G2" t="s">
        <v>89</v>
      </c>
      <c r="H2">
        <v>3041</v>
      </c>
      <c r="I2" t="s">
        <v>302</v>
      </c>
      <c r="J2" t="s">
        <v>26</v>
      </c>
      <c r="K2">
        <v>11</v>
      </c>
      <c r="L2">
        <v>259</v>
      </c>
      <c r="M2" t="s">
        <v>172</v>
      </c>
      <c r="N2" t="s">
        <v>257</v>
      </c>
      <c r="O2" t="s">
        <v>231</v>
      </c>
      <c r="P2">
        <v>1965</v>
      </c>
      <c r="Q2">
        <v>1976</v>
      </c>
      <c r="R2">
        <v>50</v>
      </c>
      <c r="S2">
        <v>59</v>
      </c>
      <c r="T2">
        <v>48</v>
      </c>
      <c r="U2">
        <v>1</v>
      </c>
      <c r="V2">
        <v>1476</v>
      </c>
      <c r="W2">
        <v>0</v>
      </c>
      <c r="X2">
        <v>0</v>
      </c>
      <c r="Y2">
        <v>1040</v>
      </c>
      <c r="Z2">
        <v>686</v>
      </c>
      <c r="AA2">
        <v>354</v>
      </c>
      <c r="AB2">
        <v>2162</v>
      </c>
      <c r="AC2">
        <v>2500</v>
      </c>
      <c r="AD2">
        <v>0</v>
      </c>
      <c r="AF2" t="s">
        <v>275</v>
      </c>
      <c r="AG2" t="s">
        <v>111</v>
      </c>
      <c r="AH2" t="s">
        <v>314</v>
      </c>
      <c r="AI2">
        <v>0</v>
      </c>
      <c r="AJ2">
        <v>1</v>
      </c>
      <c r="AK2">
        <v>0</v>
      </c>
      <c r="AL2">
        <v>1</v>
      </c>
      <c r="AM2">
        <v>0</v>
      </c>
      <c r="AN2">
        <v>11</v>
      </c>
      <c r="AO2">
        <v>0</v>
      </c>
      <c r="AP2">
        <v>0</v>
      </c>
      <c r="AQ2">
        <v>0</v>
      </c>
      <c r="AR2">
        <v>594</v>
      </c>
      <c r="AS2">
        <v>192</v>
      </c>
      <c r="AT2">
        <v>495</v>
      </c>
      <c r="AU2">
        <v>0</v>
      </c>
      <c r="AV2">
        <v>100</v>
      </c>
      <c r="AW2">
        <v>100</v>
      </c>
      <c r="AX2">
        <v>311660</v>
      </c>
      <c r="AY2">
        <v>230628</v>
      </c>
      <c r="AZ2">
        <v>753</v>
      </c>
      <c r="BA2">
        <v>365</v>
      </c>
      <c r="BB2">
        <v>365</v>
      </c>
      <c r="BC2">
        <v>23</v>
      </c>
      <c r="BD2" s="6">
        <v>44539</v>
      </c>
      <c r="BE2" t="s">
        <v>158</v>
      </c>
      <c r="BF2">
        <v>394000</v>
      </c>
      <c r="BG2">
        <v>394000</v>
      </c>
      <c r="BH2" t="s">
        <v>198</v>
      </c>
      <c r="BI2">
        <v>27</v>
      </c>
      <c r="BJ2" t="s">
        <v>51</v>
      </c>
      <c r="BK2" t="s">
        <v>314</v>
      </c>
      <c r="BL2">
        <v>395500</v>
      </c>
      <c r="BM2">
        <v>111300</v>
      </c>
      <c r="BN2">
        <v>284200</v>
      </c>
      <c r="BO2">
        <v>0</v>
      </c>
      <c r="BP2">
        <v>1.0038071065989849</v>
      </c>
      <c r="BQ2">
        <v>402205.28172531986</v>
      </c>
      <c r="BR2">
        <v>432304.11800013192</v>
      </c>
      <c r="BS2" s="7">
        <f t="shared" ref="BS2:BS24" si="0">(BR2-BL2)/BL2</f>
        <v>9.305718836948651E-2</v>
      </c>
      <c r="BT2" s="14">
        <f>(Sales[[#This Row],[DP1]]*Lookups!$B$51)+(Sales[[#This Row],[DP2]]*Lookups!$B$52)+(Sales[[#This Row],[DP3]]*Lookups!$B$53)</f>
        <v>-18346.792000000001</v>
      </c>
      <c r="BU2" s="14">
        <f>Lookups!$B$48*0.5</f>
        <v>87214.824999999997</v>
      </c>
      <c r="BV2" s="14">
        <f>Lookups!$B$48*0.5</f>
        <v>87214.824999999997</v>
      </c>
      <c r="BW2" s="14">
        <f>Lookups!$B$49*Sales[[#This Row],[LnAcres]]</f>
        <v>-97909.509328312808</v>
      </c>
      <c r="BX2" s="14">
        <f>VLOOKUP(Sales[[#This Row],[Qlty]],Lookups!$A$54:$E$67,2,FALSE)</f>
        <v>0</v>
      </c>
      <c r="BY2" s="14">
        <f>VLOOKUP(Sales[[#This Row],[Cnd]],Lookups!$A$68:$E$76,2,FALSE)</f>
        <v>133581.64413</v>
      </c>
      <c r="BZ2" s="14">
        <f>Sales[[#This Row],[Age]]*Lookups!$B$77</f>
        <v>184.51242999999999</v>
      </c>
      <c r="CA2" s="14">
        <f>Sales[[#This Row],[MainFn]]*Lookups!$B$78</f>
        <v>128771.56757600002</v>
      </c>
      <c r="CB2" s="14">
        <f>Sales[[#This Row],[UpprFn]]*Lookups!$B$79</f>
        <v>0</v>
      </c>
      <c r="CC2" s="14">
        <f>Sales[[#This Row],[AddFn]]*Lookups!$B$80</f>
        <v>0</v>
      </c>
      <c r="CD2" s="14">
        <f>Sales[[#This Row],[Bsmt]]*Lookups!$B$81</f>
        <v>0</v>
      </c>
      <c r="CE2" s="14">
        <f>Sales[[#This Row],[Fixtures]]*Lookups!$B$84</f>
        <v>121861.20000000001</v>
      </c>
      <c r="CF2" s="14">
        <f>SUM(Sales[[#This Row],[Days Prior Total]:[Mdl Fixtures]])</f>
        <v>442572.27280768723</v>
      </c>
      <c r="CG2" s="14">
        <f>ROUND(Sales[[#This Row],[25Det]],-2)</f>
        <v>0</v>
      </c>
      <c r="CH2" s="14">
        <f>ROUND(SUM(Sales[[#This Row],[Mdl LnAcres]:[Mdl Fixtures]])+Sales[[#This Row],[Mdl Res Intercept]]+Sales[[#This Row],[Days Prior Total]],-2)</f>
        <v>355400</v>
      </c>
      <c r="CI2" s="14">
        <f>ROUND(Sales[[#This Row],[Mdl Land Intercept]]+Sales[[#This Row],[Mdl LnAcres]],-2)</f>
        <v>-10700</v>
      </c>
      <c r="CJ2" s="14">
        <f>Sales[[#This Row],[Unadj Res Value]]+Sales[[#This Row],[Unadj Det Value]]+Sales[[#This Row],[Unadj Land Value]]</f>
        <v>515100</v>
      </c>
      <c r="CK2" s="15">
        <f>Sales[[#This Row],[Unadj Total Value]]/Sales[[#This Row],[Price]]</f>
        <v>1.0408163265306123</v>
      </c>
      <c r="CL2" s="15">
        <f>(Sales[[#This Row],[Unadj Total Value]]-Sales[[#This Row],[24Final]])/Sales[[#This Row],[24Final]]</f>
        <v>-8.278783211397767E-3</v>
      </c>
      <c r="CM2">
        <f>VLOOKUP(Sales[[#This Row],[TNbhd]],Lookups!$M$2:$P$4,4,FALSE)</f>
        <v>0.97570000000000001</v>
      </c>
      <c r="CN2">
        <f>VLOOKUP(Sales[[#This Row],[Qlty]],Lookups!$M$6:$P$20,4,FALSE)</f>
        <v>1.0046999999999999</v>
      </c>
      <c r="CO2">
        <f>VLOOKUP(Sales[[#This Row],[Cnd]],Lookups!$R$6:$U$15,4,FALSE)</f>
        <v>0.98370000000000002</v>
      </c>
      <c r="CP2">
        <f>VLOOKUP(Sales[[#This Row],[LivArea Range]],Lookups!$R$23:$U$39,4,FALSE)</f>
        <v>0.99099999999999999</v>
      </c>
      <c r="CQ2">
        <f>VLOOKUP(Sales[[#This Row],[Decade]],Lookups!$M$23:$P$35,4,FALSE)</f>
        <v>0.99060000000000004</v>
      </c>
      <c r="CR2">
        <f>Sales[[#This Row],[Nbhd Adj]]*0.95</f>
        <v>0.92691499999999993</v>
      </c>
      <c r="CS2">
        <f>Sales[[#This Row],[Nbhd Adj]]*Sales[[#This Row],[Quality Adj]]*Sales[[#This Row],[Condition Adj]]*Sales[[#This Row],[Living Area Adj]]*Sales[[#This Row],[Decade Adj]]*0.95</f>
        <v>0.89931318774524849</v>
      </c>
      <c r="CT2">
        <f>ROUND(SUM(Sales[[#This Row],[Mdl Qlty]:[Mdl GarageArea]])+Sales[[#This Row],[Mdl Res Intercept]]*Sales[[#This Row],[Res Adj ]],-2)</f>
        <v>535300</v>
      </c>
      <c r="CU2">
        <f>ROUND(Sales[[#This Row],[25Det]]*Sales[[#This Row],[Det/Nbhd Adj]],-2)</f>
        <v>0</v>
      </c>
      <c r="CV2">
        <f>Sales[[#This Row],[Adjusted Res]]+Sales[[#This Row],[Adj Det ]]</f>
        <v>535300</v>
      </c>
      <c r="CW2">
        <f>ROUND((Sales[[#This Row],[Mdl Land Intercept]]+Sales[[#This Row],[Mdl LnAcres]])*Sales[[#This Row],[Det/Nbhd Adj]],-2)</f>
        <v>-9900</v>
      </c>
      <c r="CX2">
        <f>Sales[[#This Row],[Adjusted Impr Total]]+Sales[[#This Row],[Adjusted Land Total]]</f>
        <v>525400</v>
      </c>
      <c r="CY2">
        <f>IFERROR((Sales[[#This Row],[Adjusted Impr Total]]-Sales[[#This Row],[24Bldg]])/Sales[[#This Row],[24Bldg]],0)</f>
        <v>0.17313171159325005</v>
      </c>
      <c r="CZ2">
        <f>(Sales[[#This Row],[Adjusted Land Total]]-Sales[[#This Row],[24Lnd]])/Sales[[#This Row],[24Lnd]]</f>
        <v>-1.1568938193343898</v>
      </c>
      <c r="DA2">
        <f>(Sales[[#This Row],[Adjusted Total]]-Sales[[#This Row],[24Final]])/Sales[[#This Row],[24Final]]</f>
        <v>1.1551790527531768E-2</v>
      </c>
      <c r="DB2">
        <f>(Sales[[#This Row],[Adjusted Total]]+Sales[[#This Row],[Days Prior Total]])/Sales[[#This Row],[Price]]</f>
        <v>1.0245568963426954</v>
      </c>
    </row>
    <row r="3" spans="1:106" x14ac:dyDescent="0.3">
      <c r="A3">
        <v>2025</v>
      </c>
      <c r="B3" s="2">
        <v>18131532435</v>
      </c>
      <c r="C3">
        <v>-1.5141277326297755</v>
      </c>
      <c r="D3">
        <v>0.22</v>
      </c>
      <c r="E3">
        <v>9458</v>
      </c>
      <c r="F3">
        <v>5</v>
      </c>
      <c r="G3" t="s">
        <v>89</v>
      </c>
      <c r="H3">
        <v>3041</v>
      </c>
      <c r="I3" t="s">
        <v>302</v>
      </c>
      <c r="J3" t="s">
        <v>26</v>
      </c>
      <c r="K3">
        <v>11</v>
      </c>
      <c r="L3">
        <v>259</v>
      </c>
      <c r="M3" t="s">
        <v>172</v>
      </c>
      <c r="N3" t="s">
        <v>205</v>
      </c>
      <c r="O3" t="s">
        <v>207</v>
      </c>
      <c r="P3">
        <v>1974</v>
      </c>
      <c r="Q3">
        <v>1979</v>
      </c>
      <c r="R3">
        <v>50</v>
      </c>
      <c r="S3">
        <v>50</v>
      </c>
      <c r="T3">
        <v>45</v>
      </c>
      <c r="U3">
        <v>1</v>
      </c>
      <c r="V3">
        <v>1672</v>
      </c>
      <c r="W3">
        <v>0</v>
      </c>
      <c r="X3">
        <v>0</v>
      </c>
      <c r="Y3">
        <v>0</v>
      </c>
      <c r="Z3">
        <v>0</v>
      </c>
      <c r="AA3">
        <v>0</v>
      </c>
      <c r="AB3">
        <v>1672</v>
      </c>
      <c r="AC3">
        <v>2000</v>
      </c>
      <c r="AD3">
        <v>2</v>
      </c>
      <c r="AE3" t="s">
        <v>5</v>
      </c>
      <c r="AF3" t="s">
        <v>275</v>
      </c>
      <c r="AG3" t="s">
        <v>111</v>
      </c>
      <c r="AH3" t="s">
        <v>314</v>
      </c>
      <c r="AI3">
        <v>0</v>
      </c>
      <c r="AJ3">
        <v>0</v>
      </c>
      <c r="AK3">
        <v>1</v>
      </c>
      <c r="AL3">
        <v>1</v>
      </c>
      <c r="AM3">
        <v>0</v>
      </c>
      <c r="AN3">
        <v>8</v>
      </c>
      <c r="AO3">
        <v>484</v>
      </c>
      <c r="AP3">
        <v>0</v>
      </c>
      <c r="AQ3">
        <v>484</v>
      </c>
      <c r="AR3">
        <v>0</v>
      </c>
      <c r="AS3">
        <v>0</v>
      </c>
      <c r="AT3">
        <v>156</v>
      </c>
      <c r="AU3">
        <v>0</v>
      </c>
      <c r="AV3">
        <v>100</v>
      </c>
      <c r="AW3">
        <v>100</v>
      </c>
      <c r="AX3">
        <v>314213</v>
      </c>
      <c r="AY3">
        <v>263939</v>
      </c>
      <c r="AZ3">
        <v>192</v>
      </c>
      <c r="BA3">
        <v>192</v>
      </c>
      <c r="BB3">
        <v>0</v>
      </c>
      <c r="BC3">
        <v>0</v>
      </c>
      <c r="BD3" s="6">
        <v>45100</v>
      </c>
      <c r="BE3" t="s">
        <v>35</v>
      </c>
      <c r="BF3">
        <v>420750</v>
      </c>
      <c r="BG3">
        <v>420750</v>
      </c>
      <c r="BH3" t="s">
        <v>198</v>
      </c>
      <c r="BI3">
        <v>27</v>
      </c>
      <c r="BJ3" t="s">
        <v>51</v>
      </c>
      <c r="BK3" t="s">
        <v>314</v>
      </c>
      <c r="BL3">
        <v>364000</v>
      </c>
      <c r="BM3">
        <v>74500</v>
      </c>
      <c r="BN3">
        <v>289500</v>
      </c>
      <c r="BO3">
        <v>0</v>
      </c>
      <c r="BP3">
        <v>0.86512180629827684</v>
      </c>
      <c r="BQ3">
        <v>395720.80011120701</v>
      </c>
      <c r="BR3">
        <v>426087.89695388888</v>
      </c>
      <c r="BS3" s="7">
        <f t="shared" si="0"/>
        <v>0.17057114547771671</v>
      </c>
      <c r="BT3" s="14">
        <f>(Sales[[#This Row],[DP1]]*Lookups!$B$51)+(Sales[[#This Row],[DP2]]*Lookups!$B$52)+(Sales[[#This Row],[DP3]]*Lookups!$B$53)</f>
        <v>-29418.132000000001</v>
      </c>
      <c r="BU3" s="14">
        <f>Lookups!$B$48*0.5</f>
        <v>87214.824999999997</v>
      </c>
      <c r="BV3" s="14">
        <f>Lookups!$B$48*0.5</f>
        <v>87214.824999999997</v>
      </c>
      <c r="BW3" s="14">
        <f>Lookups!$B$49*Sales[[#This Row],[LnAcres]]</f>
        <v>-44348.26295851732</v>
      </c>
      <c r="BX3" s="14">
        <f>VLOOKUP(Sales[[#This Row],[Qlty]],Lookups!$A$54:$E$67,2,FALSE)</f>
        <v>30313.66692</v>
      </c>
      <c r="BY3" s="14">
        <f>VLOOKUP(Sales[[#This Row],[Cnd]],Lookups!$A$68:$E$76,2,FALSE)</f>
        <v>133581.64413</v>
      </c>
      <c r="BZ3" s="14">
        <f>Sales[[#This Row],[Age]]*Lookups!$B$77</f>
        <v>184.51242999999999</v>
      </c>
      <c r="CA3" s="14">
        <f>Sales[[#This Row],[MainFn]]*Lookups!$B$78</f>
        <v>95335.173420000006</v>
      </c>
      <c r="CB3" s="14">
        <f>Sales[[#This Row],[UpprFn]]*Lookups!$B$79</f>
        <v>51394.707000000002</v>
      </c>
      <c r="CC3" s="14">
        <f>Sales[[#This Row],[AddFn]]*Lookups!$B$80</f>
        <v>0</v>
      </c>
      <c r="CD3" s="14">
        <f>Sales[[#This Row],[Bsmt]]*Lookups!$B$81</f>
        <v>0</v>
      </c>
      <c r="CE3" s="14">
        <f>Sales[[#This Row],[Fixtures]]*Lookups!$B$84</f>
        <v>121861.20000000001</v>
      </c>
      <c r="CF3" s="14">
        <f>SUM(Sales[[#This Row],[Days Prior Total]:[Mdl Fixtures]])</f>
        <v>533334.15894148266</v>
      </c>
      <c r="CG3" s="14">
        <f>ROUND(Sales[[#This Row],[25Det]],-2)</f>
        <v>0</v>
      </c>
      <c r="CH3" s="14">
        <f>ROUND(SUM(Sales[[#This Row],[Mdl LnAcres]:[Mdl Fixtures]])+Sales[[#This Row],[Mdl Res Intercept]]+Sales[[#This Row],[Days Prior Total]],-2)</f>
        <v>446100</v>
      </c>
      <c r="CI3" s="14">
        <f>ROUND(Sales[[#This Row],[Mdl Land Intercept]]+Sales[[#This Row],[Mdl LnAcres]],-2)</f>
        <v>42900</v>
      </c>
      <c r="CJ3" s="14">
        <f>Sales[[#This Row],[Unadj Res Value]]+Sales[[#This Row],[Unadj Det Value]]+Sales[[#This Row],[Unadj Land Value]]</f>
        <v>608900</v>
      </c>
      <c r="CK3" s="15">
        <f>Sales[[#This Row],[Unadj Total Value]]/Sales[[#This Row],[Price]]</f>
        <v>1.231344792719919</v>
      </c>
      <c r="CL3" s="15">
        <f>(Sales[[#This Row],[Unadj Total Value]]-Sales[[#This Row],[24Final]])/Sales[[#This Row],[24Final]]</f>
        <v>0.23634517766497462</v>
      </c>
      <c r="CM3">
        <f>VLOOKUP(Sales[[#This Row],[TNbhd]],Lookups!$M$2:$P$4,4,FALSE)</f>
        <v>0.97570000000000001</v>
      </c>
      <c r="CN3">
        <f>VLOOKUP(Sales[[#This Row],[Qlty]],Lookups!$M$6:$P$20,4,FALSE)</f>
        <v>0.85299999999999998</v>
      </c>
      <c r="CO3">
        <f>VLOOKUP(Sales[[#This Row],[Cnd]],Lookups!$R$6:$U$15,4,FALSE)</f>
        <v>0.98370000000000002</v>
      </c>
      <c r="CP3">
        <f>VLOOKUP(Sales[[#This Row],[LivArea Range]],Lookups!$R$23:$U$39,4,FALSE)</f>
        <v>0.93440000000000001</v>
      </c>
      <c r="CQ3">
        <f>VLOOKUP(Sales[[#This Row],[Decade]],Lookups!$M$23:$P$35,4,FALSE)</f>
        <v>0.99060000000000004</v>
      </c>
      <c r="CR3">
        <f>Sales[[#This Row],[Nbhd Adj]]*0.95</f>
        <v>0.92691499999999993</v>
      </c>
      <c r="CS3">
        <f>Sales[[#This Row],[Nbhd Adj]]*Sales[[#This Row],[Quality Adj]]*Sales[[#This Row],[Condition Adj]]*Sales[[#This Row],[Living Area Adj]]*Sales[[#This Row],[Decade Adj]]*0.95</f>
        <v>0.7199175589790282</v>
      </c>
      <c r="CT3">
        <f>ROUND(SUM(Sales[[#This Row],[Mdl Qlty]:[Mdl GarageArea]])+Sales[[#This Row],[Mdl Res Intercept]]*Sales[[#This Row],[Res Adj ]],-2)</f>
        <v>571000</v>
      </c>
      <c r="CU3">
        <f>ROUND(Sales[[#This Row],[25Det]]*Sales[[#This Row],[Det/Nbhd Adj]],-2)</f>
        <v>0</v>
      </c>
      <c r="CV3">
        <f>Sales[[#This Row],[Adjusted Res]]+Sales[[#This Row],[Adj Det ]]</f>
        <v>571000</v>
      </c>
      <c r="CW3">
        <f>ROUND((Sales[[#This Row],[Mdl Land Intercept]]+Sales[[#This Row],[Mdl LnAcres]])*Sales[[#This Row],[Det/Nbhd Adj]],-2)</f>
        <v>39700</v>
      </c>
      <c r="CX3">
        <f>Sales[[#This Row],[Adjusted Impr Total]]+Sales[[#This Row],[Adjusted Land Total]]</f>
        <v>610700</v>
      </c>
      <c r="CY3">
        <f>IFERROR((Sales[[#This Row],[Adjusted Impr Total]]-Sales[[#This Row],[24Bldg]])/Sales[[#This Row],[24Bldg]],0)</f>
        <v>0.31992602866389275</v>
      </c>
      <c r="CZ3">
        <f>(Sales[[#This Row],[Adjusted Land Total]]-Sales[[#This Row],[24Lnd]])/Sales[[#This Row],[24Lnd]]</f>
        <v>-0.337228714524207</v>
      </c>
      <c r="DA3">
        <f>(Sales[[#This Row],[Adjusted Total]]-Sales[[#This Row],[24Final]])/Sales[[#This Row],[24Final]]</f>
        <v>0.24</v>
      </c>
      <c r="DB3">
        <f>(Sales[[#This Row],[Adjusted Total]]+Sales[[#This Row],[Days Prior Total]])/Sales[[#This Row],[Price]]</f>
        <v>1.1754941718907987</v>
      </c>
    </row>
    <row r="4" spans="1:106" x14ac:dyDescent="0.3">
      <c r="A4">
        <v>2025</v>
      </c>
      <c r="B4" s="2">
        <v>18131534472</v>
      </c>
      <c r="C4">
        <v>-1.5606477482646683</v>
      </c>
      <c r="D4">
        <v>0.21</v>
      </c>
      <c r="E4">
        <v>8971</v>
      </c>
      <c r="F4">
        <v>5</v>
      </c>
      <c r="G4" t="s">
        <v>89</v>
      </c>
      <c r="H4">
        <v>3042</v>
      </c>
      <c r="I4" t="s">
        <v>302</v>
      </c>
      <c r="J4" t="s">
        <v>109</v>
      </c>
      <c r="K4">
        <v>11</v>
      </c>
      <c r="L4">
        <v>259</v>
      </c>
      <c r="M4" t="s">
        <v>204</v>
      </c>
      <c r="N4" t="s">
        <v>111</v>
      </c>
      <c r="O4" t="s">
        <v>207</v>
      </c>
      <c r="P4">
        <v>1989</v>
      </c>
      <c r="Q4">
        <v>1989</v>
      </c>
      <c r="R4">
        <v>30</v>
      </c>
      <c r="S4">
        <v>35</v>
      </c>
      <c r="T4">
        <v>35</v>
      </c>
      <c r="U4">
        <v>1</v>
      </c>
      <c r="V4">
        <v>1965</v>
      </c>
      <c r="W4">
        <v>0</v>
      </c>
      <c r="X4">
        <v>0</v>
      </c>
      <c r="Y4">
        <v>0</v>
      </c>
      <c r="Z4">
        <v>0</v>
      </c>
      <c r="AA4">
        <v>0</v>
      </c>
      <c r="AB4">
        <v>1965</v>
      </c>
      <c r="AC4">
        <v>2000</v>
      </c>
      <c r="AD4">
        <v>2</v>
      </c>
      <c r="AE4" t="s">
        <v>5</v>
      </c>
      <c r="AF4" t="s">
        <v>275</v>
      </c>
      <c r="AG4" t="s">
        <v>111</v>
      </c>
      <c r="AH4" t="s">
        <v>314</v>
      </c>
      <c r="AI4">
        <v>0</v>
      </c>
      <c r="AJ4">
        <v>1</v>
      </c>
      <c r="AK4">
        <v>0</v>
      </c>
      <c r="AL4">
        <v>1</v>
      </c>
      <c r="AM4">
        <v>0</v>
      </c>
      <c r="AN4">
        <v>9</v>
      </c>
      <c r="AO4">
        <v>625</v>
      </c>
      <c r="AP4">
        <v>0</v>
      </c>
      <c r="AQ4">
        <v>625</v>
      </c>
      <c r="AR4">
        <v>0</v>
      </c>
      <c r="AS4">
        <v>284</v>
      </c>
      <c r="AT4">
        <v>0</v>
      </c>
      <c r="AU4">
        <v>0</v>
      </c>
      <c r="AV4">
        <v>100</v>
      </c>
      <c r="AW4">
        <v>100</v>
      </c>
      <c r="AX4">
        <v>387149</v>
      </c>
      <c r="AY4">
        <v>340691</v>
      </c>
      <c r="AZ4">
        <v>411</v>
      </c>
      <c r="BA4">
        <v>365</v>
      </c>
      <c r="BB4">
        <v>46</v>
      </c>
      <c r="BC4">
        <v>0</v>
      </c>
      <c r="BD4" s="6">
        <v>44881</v>
      </c>
      <c r="BE4" t="s">
        <v>61</v>
      </c>
      <c r="BF4">
        <v>395000</v>
      </c>
      <c r="BG4">
        <v>395000</v>
      </c>
      <c r="BH4" t="s">
        <v>198</v>
      </c>
      <c r="BI4">
        <v>27</v>
      </c>
      <c r="BJ4" t="s">
        <v>51</v>
      </c>
      <c r="BK4" t="s">
        <v>314</v>
      </c>
      <c r="BL4">
        <v>437300</v>
      </c>
      <c r="BM4">
        <v>71900</v>
      </c>
      <c r="BN4">
        <v>365400</v>
      </c>
      <c r="BO4">
        <v>0</v>
      </c>
      <c r="BP4">
        <v>1.1070886075949367</v>
      </c>
      <c r="BQ4">
        <v>405512.24175942456</v>
      </c>
      <c r="BR4">
        <v>458864.70904488466</v>
      </c>
      <c r="BS4" s="7">
        <f t="shared" si="0"/>
        <v>4.9313306757111042E-2</v>
      </c>
      <c r="BT4" s="14">
        <f>(Sales[[#This Row],[DP1]]*Lookups!$B$51)+(Sales[[#This Row],[DP2]]*Lookups!$B$52)+(Sales[[#This Row],[DP3]]*Lookups!$B$53)</f>
        <v>-8540.7479999999996</v>
      </c>
      <c r="BU4" s="14">
        <f>Lookups!$B$48*0.5</f>
        <v>87214.824999999997</v>
      </c>
      <c r="BV4" s="14">
        <f>Lookups!$B$48*0.5</f>
        <v>87214.824999999997</v>
      </c>
      <c r="BW4" s="14">
        <f>Lookups!$B$49*Sales[[#This Row],[LnAcres]]</f>
        <v>-97909.509328312808</v>
      </c>
      <c r="BX4" s="14">
        <f>VLOOKUP(Sales[[#This Row],[Qlty]],Lookups!$A$54:$E$67,2,FALSE)</f>
        <v>-14329.694740000001</v>
      </c>
      <c r="BY4" s="14">
        <f>VLOOKUP(Sales[[#This Row],[Cnd]],Lookups!$A$68:$E$76,2,FALSE)</f>
        <v>133581.64413</v>
      </c>
      <c r="BZ4" s="14">
        <f>Sales[[#This Row],[Age]]*Lookups!$B$77</f>
        <v>184.51242999999999</v>
      </c>
      <c r="CA4" s="14">
        <f>Sales[[#This Row],[MainFn]]*Lookups!$B$78</f>
        <v>139963.08793400001</v>
      </c>
      <c r="CB4" s="14">
        <f>Sales[[#This Row],[UpprFn]]*Lookups!$B$79</f>
        <v>0</v>
      </c>
      <c r="CC4" s="14">
        <f>Sales[[#This Row],[AddFn]]*Lookups!$B$80</f>
        <v>0</v>
      </c>
      <c r="CD4" s="14">
        <f>Sales[[#This Row],[Bsmt]]*Lookups!$B$81</f>
        <v>0</v>
      </c>
      <c r="CE4" s="14">
        <f>Sales[[#This Row],[Fixtures]]*Lookups!$B$84</f>
        <v>91395.900000000009</v>
      </c>
      <c r="CF4" s="14">
        <f>SUM(Sales[[#This Row],[Days Prior Total]:[Mdl Fixtures]])</f>
        <v>418774.84242568724</v>
      </c>
      <c r="CG4" s="14">
        <f>ROUND(Sales[[#This Row],[25Det]],-2)</f>
        <v>0</v>
      </c>
      <c r="CH4" s="14">
        <f>ROUND(SUM(Sales[[#This Row],[Mdl LnAcres]:[Mdl Fixtures]])+Sales[[#This Row],[Mdl Res Intercept]]+Sales[[#This Row],[Days Prior Total]],-2)</f>
        <v>331600</v>
      </c>
      <c r="CI4" s="14">
        <f>ROUND(Sales[[#This Row],[Mdl Land Intercept]]+Sales[[#This Row],[Mdl LnAcres]],-2)</f>
        <v>-10700</v>
      </c>
      <c r="CJ4" s="14">
        <f>Sales[[#This Row],[Unadj Res Value]]+Sales[[#This Row],[Unadj Det Value]]+Sales[[#This Row],[Unadj Land Value]]</f>
        <v>489200</v>
      </c>
      <c r="CK4" s="15">
        <f>Sales[[#This Row],[Unadj Total Value]]/Sales[[#This Row],[Price]]</f>
        <v>1.0306975960221647</v>
      </c>
      <c r="CL4" s="15">
        <f>(Sales[[#This Row],[Unadj Total Value]]-Sales[[#This Row],[24Final]])/Sales[[#This Row],[24Final]]</f>
        <v>1.2055906221821462</v>
      </c>
      <c r="CM4">
        <f>VLOOKUP(Sales[[#This Row],[TNbhd]],Lookups!$M$2:$P$4,4,FALSE)</f>
        <v>0.97570000000000001</v>
      </c>
      <c r="CN4">
        <f>VLOOKUP(Sales[[#This Row],[Qlty]],Lookups!$M$6:$P$20,4,FALSE)</f>
        <v>0.98809999999999998</v>
      </c>
      <c r="CO4">
        <f>VLOOKUP(Sales[[#This Row],[Cnd]],Lookups!$R$6:$U$15,4,FALSE)</f>
        <v>0.98370000000000002</v>
      </c>
      <c r="CP4">
        <f>VLOOKUP(Sales[[#This Row],[LivArea Range]],Lookups!$R$23:$U$39,4,FALSE)</f>
        <v>0.93440000000000001</v>
      </c>
      <c r="CQ4">
        <f>VLOOKUP(Sales[[#This Row],[Decade]],Lookups!$M$23:$P$35,4,FALSE)</f>
        <v>0.99060000000000004</v>
      </c>
      <c r="CR4">
        <f>Sales[[#This Row],[Nbhd Adj]]*0.95</f>
        <v>0.92691499999999993</v>
      </c>
      <c r="CS4">
        <f>Sales[[#This Row],[Nbhd Adj]]*Sales[[#This Row],[Quality Adj]]*Sales[[#This Row],[Condition Adj]]*Sales[[#This Row],[Living Area Adj]]*Sales[[#This Row],[Decade Adj]]*0.95</f>
        <v>0.83393967177863759</v>
      </c>
      <c r="CT4">
        <f>ROUND(SUM(Sales[[#This Row],[Mdl Qlty]:[Mdl GarageArea]])+Sales[[#This Row],[Mdl Res Intercept]]*Sales[[#This Row],[Res Adj ]],-2)</f>
        <v>494000</v>
      </c>
      <c r="CU4">
        <f>ROUND(Sales[[#This Row],[25Det]]*Sales[[#This Row],[Det/Nbhd Adj]],-2)</f>
        <v>0</v>
      </c>
      <c r="CV4">
        <f>Sales[[#This Row],[Adjusted Res]]+Sales[[#This Row],[Adj Det ]]</f>
        <v>494000</v>
      </c>
      <c r="CW4">
        <f>ROUND((Sales[[#This Row],[Mdl Land Intercept]]+Sales[[#This Row],[Mdl LnAcres]])*Sales[[#This Row],[Det/Nbhd Adj]],-2)</f>
        <v>-9900</v>
      </c>
      <c r="CX4">
        <f>Sales[[#This Row],[Adjusted Impr Total]]+Sales[[#This Row],[Adjusted Land Total]]</f>
        <v>484100</v>
      </c>
      <c r="CY4">
        <f>IFERROR((Sales[[#This Row],[Adjusted Impr Total]]-Sales[[#This Row],[24Bldg]])/Sales[[#This Row],[24Bldg]],0)</f>
        <v>2.1127914303717708</v>
      </c>
      <c r="CZ4">
        <f>(Sales[[#This Row],[Adjusted Land Total]]-Sales[[#This Row],[24Lnd]])/Sales[[#This Row],[24Lnd]]</f>
        <v>-1.1568938193343898</v>
      </c>
      <c r="DA4">
        <f>(Sales[[#This Row],[Adjusted Total]]-Sales[[#This Row],[24Final]])/Sales[[#This Row],[24Final]]</f>
        <v>1.1825969341749323</v>
      </c>
      <c r="DB4">
        <f>(Sales[[#This Row],[Adjusted Total]]+Sales[[#This Row],[Days Prior Total]])/Sales[[#This Row],[Price]]</f>
        <v>1.0019578450582558</v>
      </c>
    </row>
    <row r="5" spans="1:106" x14ac:dyDescent="0.3">
      <c r="A5">
        <v>2025</v>
      </c>
      <c r="B5" s="2">
        <v>18131641439</v>
      </c>
      <c r="C5">
        <v>-0.46203545959655867</v>
      </c>
      <c r="D5">
        <v>0.63</v>
      </c>
      <c r="E5">
        <v>27617</v>
      </c>
      <c r="F5">
        <v>5</v>
      </c>
      <c r="G5" t="s">
        <v>89</v>
      </c>
      <c r="H5">
        <v>3041</v>
      </c>
      <c r="I5" t="s">
        <v>302</v>
      </c>
      <c r="J5" t="s">
        <v>26</v>
      </c>
      <c r="K5">
        <v>11</v>
      </c>
      <c r="L5">
        <v>259</v>
      </c>
      <c r="M5" t="s">
        <v>204</v>
      </c>
      <c r="N5" t="s">
        <v>75</v>
      </c>
      <c r="O5" t="s">
        <v>258</v>
      </c>
      <c r="P5">
        <v>1966</v>
      </c>
      <c r="Q5">
        <v>1990</v>
      </c>
      <c r="R5">
        <v>50</v>
      </c>
      <c r="S5">
        <v>58</v>
      </c>
      <c r="T5">
        <v>34</v>
      </c>
      <c r="U5">
        <v>1</v>
      </c>
      <c r="V5">
        <v>1824</v>
      </c>
      <c r="W5">
        <v>0</v>
      </c>
      <c r="X5">
        <v>0</v>
      </c>
      <c r="Y5">
        <v>1824</v>
      </c>
      <c r="Z5">
        <v>1459</v>
      </c>
      <c r="AA5">
        <v>365</v>
      </c>
      <c r="AB5">
        <v>3283</v>
      </c>
      <c r="AC5">
        <v>3500</v>
      </c>
      <c r="AD5">
        <v>0</v>
      </c>
      <c r="AF5" t="s">
        <v>275</v>
      </c>
      <c r="AG5" t="s">
        <v>111</v>
      </c>
      <c r="AH5" t="s">
        <v>314</v>
      </c>
      <c r="AI5">
        <v>0</v>
      </c>
      <c r="AJ5">
        <v>1</v>
      </c>
      <c r="AK5">
        <v>0</v>
      </c>
      <c r="AL5">
        <v>1</v>
      </c>
      <c r="AM5">
        <v>1</v>
      </c>
      <c r="AN5">
        <v>13</v>
      </c>
      <c r="AO5">
        <v>0</v>
      </c>
      <c r="AP5">
        <v>0</v>
      </c>
      <c r="AQ5">
        <v>0</v>
      </c>
      <c r="AR5">
        <v>637</v>
      </c>
      <c r="AS5">
        <v>550</v>
      </c>
      <c r="AT5">
        <v>0</v>
      </c>
      <c r="AU5">
        <v>550</v>
      </c>
      <c r="AV5">
        <v>100</v>
      </c>
      <c r="AW5">
        <v>100</v>
      </c>
      <c r="AX5">
        <v>566187</v>
      </c>
      <c r="AY5">
        <v>520892</v>
      </c>
      <c r="AZ5">
        <v>1082</v>
      </c>
      <c r="BA5">
        <v>365</v>
      </c>
      <c r="BB5">
        <v>365</v>
      </c>
      <c r="BC5">
        <v>352</v>
      </c>
      <c r="BD5" s="6">
        <v>44210</v>
      </c>
      <c r="BE5" t="s">
        <v>309</v>
      </c>
      <c r="BF5">
        <v>590000</v>
      </c>
      <c r="BG5">
        <v>590000</v>
      </c>
      <c r="BH5" t="s">
        <v>198</v>
      </c>
      <c r="BI5">
        <v>1</v>
      </c>
      <c r="BJ5" t="s">
        <v>51</v>
      </c>
      <c r="BK5" t="s">
        <v>314</v>
      </c>
      <c r="BL5">
        <v>631300</v>
      </c>
      <c r="BM5">
        <v>134300</v>
      </c>
      <c r="BN5">
        <v>497000</v>
      </c>
      <c r="BO5">
        <v>0</v>
      </c>
      <c r="BP5">
        <v>1.07</v>
      </c>
      <c r="BQ5">
        <v>503171.14802119142</v>
      </c>
      <c r="BR5">
        <v>634794.79416126013</v>
      </c>
      <c r="BS5" s="7">
        <f t="shared" si="0"/>
        <v>5.5358690975132714E-3</v>
      </c>
      <c r="BT5" s="14">
        <f>(Sales[[#This Row],[DP1]]*Lookups!$B$51)+(Sales[[#This Row],[DP2]]*Lookups!$B$52)+(Sales[[#This Row],[DP3]]*Lookups!$B$53)</f>
        <v>-25305.920000000002</v>
      </c>
      <c r="BU5" s="14">
        <f>Lookups!$B$48*0.5</f>
        <v>87214.824999999997</v>
      </c>
      <c r="BV5" s="14">
        <f>Lookups!$B$48*0.5</f>
        <v>87214.824999999997</v>
      </c>
      <c r="BW5" s="14">
        <f>Lookups!$B$49*Sales[[#This Row],[LnAcres]]</f>
        <v>-97909.509328312808</v>
      </c>
      <c r="BX5" s="14">
        <f>VLOOKUP(Sales[[#This Row],[Qlty]],Lookups!$A$54:$E$67,2,FALSE)</f>
        <v>-14329.694740000001</v>
      </c>
      <c r="BY5" s="14">
        <f>VLOOKUP(Sales[[#This Row],[Cnd]],Lookups!$A$68:$E$76,2,FALSE)</f>
        <v>133581.64413</v>
      </c>
      <c r="BZ5" s="14">
        <f>Sales[[#This Row],[Age]]*Lookups!$B$77</f>
        <v>184.51242999999999</v>
      </c>
      <c r="CA5" s="14">
        <f>Sales[[#This Row],[MainFn]]*Lookups!$B$78</f>
        <v>139963.08793400001</v>
      </c>
      <c r="CB5" s="14">
        <f>Sales[[#This Row],[UpprFn]]*Lookups!$B$79</f>
        <v>0</v>
      </c>
      <c r="CC5" s="14">
        <f>Sales[[#This Row],[AddFn]]*Lookups!$B$80</f>
        <v>0</v>
      </c>
      <c r="CD5" s="14">
        <f>Sales[[#This Row],[Bsmt]]*Lookups!$B$81</f>
        <v>0</v>
      </c>
      <c r="CE5" s="14">
        <f>Sales[[#This Row],[Fixtures]]*Lookups!$B$84</f>
        <v>111706.1</v>
      </c>
      <c r="CF5" s="14">
        <f>SUM(Sales[[#This Row],[Days Prior Total]:[Mdl Fixtures]])</f>
        <v>422319.87042568717</v>
      </c>
      <c r="CG5" s="14">
        <f>ROUND(Sales[[#This Row],[25Det]],-2)</f>
        <v>0</v>
      </c>
      <c r="CH5" s="14">
        <f>ROUND(SUM(Sales[[#This Row],[Mdl LnAcres]:[Mdl Fixtures]])+Sales[[#This Row],[Mdl Res Intercept]]+Sales[[#This Row],[Days Prior Total]],-2)</f>
        <v>335100</v>
      </c>
      <c r="CI5" s="14">
        <f>ROUND(Sales[[#This Row],[Mdl Land Intercept]]+Sales[[#This Row],[Mdl LnAcres]],-2)</f>
        <v>-10700</v>
      </c>
      <c r="CJ5" s="14">
        <f>Sales[[#This Row],[Unadj Res Value]]+Sales[[#This Row],[Unadj Det Value]]+Sales[[#This Row],[Unadj Land Value]]</f>
        <v>504400</v>
      </c>
      <c r="CK5" s="15">
        <f>Sales[[#This Row],[Unadj Total Value]]/Sales[[#This Row],[Price]]</f>
        <v>0.95187771277599542</v>
      </c>
      <c r="CL5" s="15">
        <f>(Sales[[#This Row],[Unadj Total Value]]-Sales[[#This Row],[24Final]])/Sales[[#This Row],[24Final]]</f>
        <v>3.3606557377049179E-2</v>
      </c>
      <c r="CM5">
        <f>VLOOKUP(Sales[[#This Row],[TNbhd]],Lookups!$M$2:$P$4,4,FALSE)</f>
        <v>0.97570000000000001</v>
      </c>
      <c r="CN5">
        <f>VLOOKUP(Sales[[#This Row],[Qlty]],Lookups!$M$6:$P$20,4,FALSE)</f>
        <v>0.98809999999999998</v>
      </c>
      <c r="CO5">
        <f>VLOOKUP(Sales[[#This Row],[Cnd]],Lookups!$R$6:$U$15,4,FALSE)</f>
        <v>0.98370000000000002</v>
      </c>
      <c r="CP5">
        <f>VLOOKUP(Sales[[#This Row],[LivArea Range]],Lookups!$R$23:$U$39,4,FALSE)</f>
        <v>0.93440000000000001</v>
      </c>
      <c r="CQ5">
        <f>VLOOKUP(Sales[[#This Row],[Decade]],Lookups!$M$23:$P$35,4,FALSE)</f>
        <v>0.99060000000000004</v>
      </c>
      <c r="CR5">
        <f>Sales[[#This Row],[Nbhd Adj]]*0.95</f>
        <v>0.92691499999999993</v>
      </c>
      <c r="CS5">
        <f>Sales[[#This Row],[Nbhd Adj]]*Sales[[#This Row],[Quality Adj]]*Sales[[#This Row],[Condition Adj]]*Sales[[#This Row],[Living Area Adj]]*Sales[[#This Row],[Decade Adj]]*0.95</f>
        <v>0.83393967177863759</v>
      </c>
      <c r="CT5">
        <f>ROUND(SUM(Sales[[#This Row],[Mdl Qlty]:[Mdl GarageArea]])+Sales[[#This Row],[Mdl Res Intercept]]*Sales[[#This Row],[Res Adj ]],-2)</f>
        <v>526000</v>
      </c>
      <c r="CU5">
        <f>ROUND(Sales[[#This Row],[25Det]]*Sales[[#This Row],[Det/Nbhd Adj]],-2)</f>
        <v>0</v>
      </c>
      <c r="CV5">
        <f>Sales[[#This Row],[Adjusted Res]]+Sales[[#This Row],[Adj Det ]]</f>
        <v>526000</v>
      </c>
      <c r="CW5">
        <f>ROUND((Sales[[#This Row],[Mdl Land Intercept]]+Sales[[#This Row],[Mdl LnAcres]])*Sales[[#This Row],[Det/Nbhd Adj]],-2)</f>
        <v>-9900</v>
      </c>
      <c r="CX5">
        <f>Sales[[#This Row],[Adjusted Impr Total]]+Sales[[#This Row],[Adjusted Land Total]]</f>
        <v>516100</v>
      </c>
      <c r="CY5">
        <f>IFERROR((Sales[[#This Row],[Adjusted Impr Total]]-Sales[[#This Row],[24Bldg]])/Sales[[#This Row],[24Bldg]],0)</f>
        <v>0.23793833843257237</v>
      </c>
      <c r="CZ5">
        <f>(Sales[[#This Row],[Adjusted Land Total]]-Sales[[#This Row],[24Lnd]])/Sales[[#This Row],[24Lnd]]</f>
        <v>-1.1568938193343898</v>
      </c>
      <c r="DA5">
        <f>(Sales[[#This Row],[Adjusted Total]]-Sales[[#This Row],[24Final]])/Sales[[#This Row],[24Final]]</f>
        <v>5.7581967213114753E-2</v>
      </c>
      <c r="DB5">
        <f>(Sales[[#This Row],[Adjusted Total]]+Sales[[#This Row],[Days Prior Total]])/Sales[[#This Row],[Price]]</f>
        <v>0.92620132100396302</v>
      </c>
    </row>
    <row r="6" spans="1:106" x14ac:dyDescent="0.3">
      <c r="A6">
        <v>2025</v>
      </c>
      <c r="B6" s="2">
        <v>18131733435</v>
      </c>
      <c r="C6">
        <v>0</v>
      </c>
      <c r="D6">
        <v>1</v>
      </c>
      <c r="E6">
        <v>0</v>
      </c>
      <c r="F6">
        <v>1</v>
      </c>
      <c r="G6" t="s">
        <v>89</v>
      </c>
      <c r="H6" t="s">
        <v>203</v>
      </c>
      <c r="I6" t="s">
        <v>302</v>
      </c>
      <c r="J6" t="s">
        <v>110</v>
      </c>
      <c r="K6">
        <v>11</v>
      </c>
      <c r="L6">
        <v>259</v>
      </c>
      <c r="M6" t="s">
        <v>172</v>
      </c>
      <c r="N6" t="s">
        <v>111</v>
      </c>
      <c r="O6" t="s">
        <v>258</v>
      </c>
      <c r="P6">
        <v>1969</v>
      </c>
      <c r="Q6">
        <v>1977</v>
      </c>
      <c r="R6">
        <v>50</v>
      </c>
      <c r="S6">
        <v>55</v>
      </c>
      <c r="T6">
        <v>47</v>
      </c>
      <c r="U6">
        <v>1</v>
      </c>
      <c r="V6">
        <v>1537</v>
      </c>
      <c r="W6">
        <v>0</v>
      </c>
      <c r="X6">
        <v>0</v>
      </c>
      <c r="Y6">
        <v>1537</v>
      </c>
      <c r="Z6">
        <v>1341</v>
      </c>
      <c r="AA6">
        <v>196</v>
      </c>
      <c r="AB6">
        <v>2878</v>
      </c>
      <c r="AC6">
        <v>3000</v>
      </c>
      <c r="AD6">
        <v>0</v>
      </c>
      <c r="AE6" t="s">
        <v>5</v>
      </c>
      <c r="AF6" t="s">
        <v>275</v>
      </c>
      <c r="AG6" t="s">
        <v>274</v>
      </c>
      <c r="AH6" t="s">
        <v>314</v>
      </c>
      <c r="AI6">
        <v>0</v>
      </c>
      <c r="AJ6">
        <v>2</v>
      </c>
      <c r="AK6">
        <v>0</v>
      </c>
      <c r="AL6">
        <v>1</v>
      </c>
      <c r="AM6">
        <v>0</v>
      </c>
      <c r="AN6">
        <v>12</v>
      </c>
      <c r="AO6">
        <v>0</v>
      </c>
      <c r="AP6">
        <v>0</v>
      </c>
      <c r="AQ6">
        <v>0</v>
      </c>
      <c r="AR6">
        <v>0</v>
      </c>
      <c r="AS6">
        <v>349</v>
      </c>
      <c r="AT6">
        <v>160</v>
      </c>
      <c r="AU6">
        <v>0</v>
      </c>
      <c r="AV6">
        <v>100</v>
      </c>
      <c r="AW6">
        <v>100</v>
      </c>
      <c r="AX6">
        <v>503000</v>
      </c>
      <c r="AY6">
        <v>437610</v>
      </c>
      <c r="AZ6">
        <v>545</v>
      </c>
      <c r="BA6">
        <v>365</v>
      </c>
      <c r="BB6">
        <v>180</v>
      </c>
      <c r="BC6">
        <v>0</v>
      </c>
      <c r="BD6" s="6">
        <v>44747</v>
      </c>
      <c r="BE6" t="s">
        <v>162</v>
      </c>
      <c r="BF6">
        <v>790000</v>
      </c>
      <c r="BG6">
        <v>691365</v>
      </c>
      <c r="BH6" t="s">
        <v>198</v>
      </c>
      <c r="BI6">
        <v>27</v>
      </c>
      <c r="BJ6" t="s">
        <v>51</v>
      </c>
      <c r="BK6" t="s">
        <v>314</v>
      </c>
      <c r="BL6">
        <v>613300</v>
      </c>
      <c r="BM6">
        <v>160500</v>
      </c>
      <c r="BN6">
        <v>452800</v>
      </c>
      <c r="BO6">
        <v>98635</v>
      </c>
      <c r="BP6">
        <v>0.77632911392405068</v>
      </c>
      <c r="BQ6">
        <v>558763.65200234472</v>
      </c>
      <c r="BR6">
        <v>599366.75014658505</v>
      </c>
      <c r="BS6" s="7">
        <f t="shared" si="0"/>
        <v>-2.2718489896323087E-2</v>
      </c>
      <c r="BT6" s="14">
        <f>(Sales[[#This Row],[DP1]]*Lookups!$B$51)+(Sales[[#This Row],[DP2]]*Lookups!$B$52)+(Sales[[#This Row],[DP3]]*Lookups!$B$53)</f>
        <v>-12020.312</v>
      </c>
      <c r="BU6" s="14">
        <f>Lookups!$B$48*0.5</f>
        <v>87214.824999999997</v>
      </c>
      <c r="BV6" s="14">
        <f>Lookups!$B$48*0.5</f>
        <v>87214.824999999997</v>
      </c>
      <c r="BW6" s="14">
        <f>Lookups!$B$49*Sales[[#This Row],[LnAcres]]</f>
        <v>-97909.509328312808</v>
      </c>
      <c r="BX6" s="14">
        <f>VLOOKUP(Sales[[#This Row],[Qlty]],Lookups!$A$54:$E$67,2,FALSE)</f>
        <v>-14329.694740000001</v>
      </c>
      <c r="BY6" s="14">
        <f>VLOOKUP(Sales[[#This Row],[Cnd]],Lookups!$A$68:$E$76,2,FALSE)</f>
        <v>133581.64413</v>
      </c>
      <c r="BZ6" s="14">
        <f>Sales[[#This Row],[Age]]*Lookups!$B$77</f>
        <v>184.51242999999999</v>
      </c>
      <c r="CA6" s="14">
        <f>Sales[[#This Row],[MainFn]]*Lookups!$B$78</f>
        <v>142035.59170400002</v>
      </c>
      <c r="CB6" s="14">
        <f>Sales[[#This Row],[UpprFn]]*Lookups!$B$79</f>
        <v>0</v>
      </c>
      <c r="CC6" s="14">
        <f>Sales[[#This Row],[AddFn]]*Lookups!$B$80</f>
        <v>0</v>
      </c>
      <c r="CD6" s="14">
        <f>Sales[[#This Row],[Bsmt]]*Lookups!$B$81</f>
        <v>0</v>
      </c>
      <c r="CE6" s="14">
        <f>Sales[[#This Row],[Fixtures]]*Lookups!$B$84</f>
        <v>91395.900000000009</v>
      </c>
      <c r="CF6" s="14">
        <f>SUM(Sales[[#This Row],[Days Prior Total]:[Mdl Fixtures]])</f>
        <v>417367.78219568724</v>
      </c>
      <c r="CG6" s="14">
        <f>ROUND(Sales[[#This Row],[25Det]],-2)</f>
        <v>0</v>
      </c>
      <c r="CH6" s="14">
        <f>ROUND(SUM(Sales[[#This Row],[Mdl LnAcres]:[Mdl Fixtures]])+Sales[[#This Row],[Mdl Res Intercept]]+Sales[[#This Row],[Days Prior Total]],-2)</f>
        <v>330200</v>
      </c>
      <c r="CI6" s="14">
        <f>ROUND(Sales[[#This Row],[Mdl Land Intercept]]+Sales[[#This Row],[Mdl LnAcres]],-2)</f>
        <v>-10700</v>
      </c>
      <c r="CJ6" s="14">
        <f>Sales[[#This Row],[Unadj Res Value]]+Sales[[#This Row],[Unadj Det Value]]+Sales[[#This Row],[Unadj Land Value]]</f>
        <v>491900</v>
      </c>
      <c r="CK6" s="15">
        <f>Sales[[#This Row],[Unadj Total Value]]/Sales[[#This Row],[Price]]</f>
        <v>1.0509785488419794</v>
      </c>
      <c r="CL6" s="15">
        <f>(Sales[[#This Row],[Unadj Total Value]]-Sales[[#This Row],[24Final]])/Sales[[#This Row],[24Final]]</f>
        <v>1.9668275030156814</v>
      </c>
      <c r="CM6">
        <f>VLOOKUP(Sales[[#This Row],[TNbhd]],Lookups!$M$2:$P$4,4,FALSE)</f>
        <v>0.97570000000000001</v>
      </c>
      <c r="CN6">
        <f>VLOOKUP(Sales[[#This Row],[Qlty]],Lookups!$M$6:$P$20,4,FALSE)</f>
        <v>0.98809999999999998</v>
      </c>
      <c r="CO6">
        <f>VLOOKUP(Sales[[#This Row],[Cnd]],Lookups!$R$6:$U$15,4,FALSE)</f>
        <v>0.98370000000000002</v>
      </c>
      <c r="CP6">
        <f>VLOOKUP(Sales[[#This Row],[LivArea Range]],Lookups!$R$23:$U$39,4,FALSE)</f>
        <v>0.93440000000000001</v>
      </c>
      <c r="CQ6">
        <f>VLOOKUP(Sales[[#This Row],[Decade]],Lookups!$M$23:$P$35,4,FALSE)</f>
        <v>0.99060000000000004</v>
      </c>
      <c r="CR6">
        <f>Sales[[#This Row],[Nbhd Adj]]*0.95</f>
        <v>0.92691499999999993</v>
      </c>
      <c r="CS6">
        <f>Sales[[#This Row],[Nbhd Adj]]*Sales[[#This Row],[Quality Adj]]*Sales[[#This Row],[Condition Adj]]*Sales[[#This Row],[Living Area Adj]]*Sales[[#This Row],[Decade Adj]]*0.95</f>
        <v>0.83393967177863759</v>
      </c>
      <c r="CT6">
        <f>ROUND(SUM(Sales[[#This Row],[Mdl Qlty]:[Mdl GarageArea]])+Sales[[#This Row],[Mdl Res Intercept]]*Sales[[#This Row],[Res Adj ]],-2)</f>
        <v>500100</v>
      </c>
      <c r="CU6">
        <f>ROUND(Sales[[#This Row],[25Det]]*Sales[[#This Row],[Det/Nbhd Adj]],-2)</f>
        <v>0</v>
      </c>
      <c r="CV6">
        <f>Sales[[#This Row],[Adjusted Res]]+Sales[[#This Row],[Adj Det ]]</f>
        <v>500100</v>
      </c>
      <c r="CW6">
        <f>ROUND((Sales[[#This Row],[Mdl Land Intercept]]+Sales[[#This Row],[Mdl LnAcres]])*Sales[[#This Row],[Det/Nbhd Adj]],-2)</f>
        <v>-9900</v>
      </c>
      <c r="CX6">
        <f>Sales[[#This Row],[Adjusted Impr Total]]+Sales[[#This Row],[Adjusted Land Total]]</f>
        <v>490200</v>
      </c>
      <c r="CY6">
        <f>IFERROR((Sales[[#This Row],[Adjusted Impr Total]]-Sales[[#This Row],[24Bldg]])/Sales[[#This Row],[24Bldg]],0)</f>
        <v>3.8695228821811098</v>
      </c>
      <c r="CZ6">
        <f>(Sales[[#This Row],[Adjusted Land Total]]-Sales[[#This Row],[24Lnd]])/Sales[[#This Row],[24Lnd]]</f>
        <v>-1.1568938193343898</v>
      </c>
      <c r="DA6">
        <f>(Sales[[#This Row],[Adjusted Total]]-Sales[[#This Row],[24Final]])/Sales[[#This Row],[24Final]]</f>
        <v>1.9565741857659831</v>
      </c>
      <c r="DB6">
        <f>(Sales[[#This Row],[Adjusted Total]]+Sales[[#This Row],[Days Prior Total]])/Sales[[#This Row],[Price]]</f>
        <v>1.0216641483633877</v>
      </c>
    </row>
    <row r="7" spans="1:106" x14ac:dyDescent="0.3">
      <c r="A7">
        <v>2025</v>
      </c>
      <c r="B7" s="2">
        <v>18131923413</v>
      </c>
      <c r="C7">
        <v>-0.77652878949899629</v>
      </c>
      <c r="D7">
        <v>0.46</v>
      </c>
      <c r="E7">
        <v>20100</v>
      </c>
      <c r="F7">
        <v>1</v>
      </c>
      <c r="G7" t="s">
        <v>89</v>
      </c>
      <c r="H7">
        <v>3042</v>
      </c>
      <c r="I7" t="s">
        <v>302</v>
      </c>
      <c r="J7" t="s">
        <v>26</v>
      </c>
      <c r="K7">
        <v>11</v>
      </c>
      <c r="L7">
        <v>331</v>
      </c>
      <c r="M7" t="s">
        <v>204</v>
      </c>
      <c r="N7" t="s">
        <v>50</v>
      </c>
      <c r="O7" t="s">
        <v>258</v>
      </c>
      <c r="P7">
        <v>2016</v>
      </c>
      <c r="Q7">
        <v>2016</v>
      </c>
      <c r="R7">
        <v>0</v>
      </c>
      <c r="S7">
        <v>8</v>
      </c>
      <c r="T7">
        <v>8</v>
      </c>
      <c r="U7">
        <v>1</v>
      </c>
      <c r="V7">
        <v>4077</v>
      </c>
      <c r="W7">
        <v>0</v>
      </c>
      <c r="X7">
        <v>0</v>
      </c>
      <c r="Y7">
        <v>0</v>
      </c>
      <c r="Z7">
        <v>0</v>
      </c>
      <c r="AA7">
        <v>0</v>
      </c>
      <c r="AB7">
        <v>4077</v>
      </c>
      <c r="AC7">
        <v>4500</v>
      </c>
      <c r="AD7">
        <v>4</v>
      </c>
      <c r="AE7" t="s">
        <v>132</v>
      </c>
      <c r="AF7" t="s">
        <v>275</v>
      </c>
      <c r="AG7" t="s">
        <v>274</v>
      </c>
      <c r="AH7" t="s">
        <v>314</v>
      </c>
      <c r="AI7">
        <v>0</v>
      </c>
      <c r="AJ7">
        <v>0</v>
      </c>
      <c r="AK7">
        <v>1</v>
      </c>
      <c r="AL7">
        <v>1</v>
      </c>
      <c r="AM7">
        <v>1</v>
      </c>
      <c r="AN7">
        <v>16</v>
      </c>
      <c r="AO7">
        <v>1484</v>
      </c>
      <c r="AP7">
        <v>0</v>
      </c>
      <c r="AQ7">
        <v>1484</v>
      </c>
      <c r="AR7">
        <v>0</v>
      </c>
      <c r="AS7">
        <v>0</v>
      </c>
      <c r="AT7">
        <v>320</v>
      </c>
      <c r="AU7">
        <v>0</v>
      </c>
      <c r="AV7">
        <v>100</v>
      </c>
      <c r="AW7">
        <v>100</v>
      </c>
      <c r="AX7">
        <v>977172</v>
      </c>
      <c r="AY7">
        <v>957629</v>
      </c>
      <c r="AZ7">
        <v>343</v>
      </c>
      <c r="BA7">
        <v>343</v>
      </c>
      <c r="BB7">
        <v>0</v>
      </c>
      <c r="BC7">
        <v>0</v>
      </c>
      <c r="BD7" s="6">
        <v>44949</v>
      </c>
      <c r="BE7" t="s">
        <v>290</v>
      </c>
      <c r="BF7">
        <v>825000</v>
      </c>
      <c r="BG7">
        <v>825000</v>
      </c>
      <c r="BH7" t="s">
        <v>198</v>
      </c>
      <c r="BI7">
        <v>27</v>
      </c>
      <c r="BJ7" t="s">
        <v>51</v>
      </c>
      <c r="BK7" t="s">
        <v>314</v>
      </c>
      <c r="BL7">
        <v>727500</v>
      </c>
      <c r="BM7">
        <v>116400</v>
      </c>
      <c r="BN7">
        <v>611100</v>
      </c>
      <c r="BO7">
        <v>0</v>
      </c>
      <c r="BP7">
        <v>0.88181818181818183</v>
      </c>
      <c r="BQ7">
        <v>816934.03011737484</v>
      </c>
      <c r="BR7">
        <v>871183.58333112416</v>
      </c>
      <c r="BS7" s="7">
        <f t="shared" si="0"/>
        <v>0.19750320732800572</v>
      </c>
      <c r="BT7" s="14">
        <f>(Sales[[#This Row],[DP1]]*Lookups!$B$51)+(Sales[[#This Row],[DP2]]*Lookups!$B$52)+(Sales[[#This Row],[DP3]]*Lookups!$B$53)</f>
        <v>-15341.714</v>
      </c>
      <c r="BU7" s="14">
        <f>Lookups!$B$48*0.5</f>
        <v>87214.824999999997</v>
      </c>
      <c r="BV7" s="14">
        <f>Lookups!$B$48*0.5</f>
        <v>87214.824999999997</v>
      </c>
      <c r="BW7" s="14">
        <f>Lookups!$B$49*Sales[[#This Row],[LnAcres]]</f>
        <v>-97909.509328312808</v>
      </c>
      <c r="BX7" s="14">
        <f>VLOOKUP(Sales[[#This Row],[Qlty]],Lookups!$A$54:$E$67,2,FALSE)</f>
        <v>-14329.694740000001</v>
      </c>
      <c r="BY7" s="14">
        <f>VLOOKUP(Sales[[#This Row],[Cnd]],Lookups!$A$68:$E$76,2,FALSE)</f>
        <v>133581.64413</v>
      </c>
      <c r="BZ7" s="14">
        <f>Sales[[#This Row],[Age]]*Lookups!$B$77</f>
        <v>184.51242999999999</v>
      </c>
      <c r="CA7" s="14">
        <f>Sales[[#This Row],[MainFn]]*Lookups!$B$78</f>
        <v>155852.28350400002</v>
      </c>
      <c r="CB7" s="14">
        <f>Sales[[#This Row],[UpprFn]]*Lookups!$B$79</f>
        <v>0</v>
      </c>
      <c r="CC7" s="14">
        <f>Sales[[#This Row],[AddFn]]*Lookups!$B$80</f>
        <v>0</v>
      </c>
      <c r="CD7" s="14">
        <f>Sales[[#This Row],[Bsmt]]*Lookups!$B$81</f>
        <v>0</v>
      </c>
      <c r="CE7" s="14">
        <f>Sales[[#This Row],[Fixtures]]*Lookups!$B$84</f>
        <v>132016.30000000002</v>
      </c>
      <c r="CF7" s="14">
        <f>SUM(Sales[[#This Row],[Days Prior Total]:[Mdl Fixtures]])</f>
        <v>468483.47199568723</v>
      </c>
      <c r="CG7" s="14">
        <f>ROUND(Sales[[#This Row],[25Det]],-2)</f>
        <v>0</v>
      </c>
      <c r="CH7" s="14">
        <f>ROUND(SUM(Sales[[#This Row],[Mdl LnAcres]:[Mdl Fixtures]])+Sales[[#This Row],[Mdl Res Intercept]]+Sales[[#This Row],[Days Prior Total]],-2)</f>
        <v>381300</v>
      </c>
      <c r="CI7" s="14">
        <f>ROUND(Sales[[#This Row],[Mdl Land Intercept]]+Sales[[#This Row],[Mdl LnAcres]],-2)</f>
        <v>-10700</v>
      </c>
      <c r="CJ7" s="14">
        <f>Sales[[#This Row],[Unadj Res Value]]+Sales[[#This Row],[Unadj Det Value]]+Sales[[#This Row],[Unadj Land Value]]</f>
        <v>542800</v>
      </c>
      <c r="CK7" s="15">
        <f>Sales[[#This Row],[Unadj Total Value]]/Sales[[#This Row],[Price]]</f>
        <v>1.0163271420011983</v>
      </c>
      <c r="CL7" s="15">
        <f>(Sales[[#This Row],[Unadj Total Value]]-Sales[[#This Row],[24Final]])/Sales[[#This Row],[24Final]]</f>
        <v>2.7152635181382614</v>
      </c>
      <c r="CM7">
        <f>VLOOKUP(Sales[[#This Row],[TNbhd]],Lookups!$M$2:$P$4,4,FALSE)</f>
        <v>0.97570000000000001</v>
      </c>
      <c r="CN7">
        <f>VLOOKUP(Sales[[#This Row],[Qlty]],Lookups!$M$6:$P$20,4,FALSE)</f>
        <v>0.98809999999999998</v>
      </c>
      <c r="CO7">
        <f>VLOOKUP(Sales[[#This Row],[Cnd]],Lookups!$R$6:$U$15,4,FALSE)</f>
        <v>0.98370000000000002</v>
      </c>
      <c r="CP7">
        <f>VLOOKUP(Sales[[#This Row],[LivArea Range]],Lookups!$R$23:$U$39,4,FALSE)</f>
        <v>0.93440000000000001</v>
      </c>
      <c r="CQ7">
        <f>VLOOKUP(Sales[[#This Row],[Decade]],Lookups!$M$23:$P$35,4,FALSE)</f>
        <v>0.99060000000000004</v>
      </c>
      <c r="CR7">
        <f>Sales[[#This Row],[Nbhd Adj]]*0.95</f>
        <v>0.92691499999999993</v>
      </c>
      <c r="CS7">
        <f>Sales[[#This Row],[Nbhd Adj]]*Sales[[#This Row],[Quality Adj]]*Sales[[#This Row],[Condition Adj]]*Sales[[#This Row],[Living Area Adj]]*Sales[[#This Row],[Decade Adj]]*0.95</f>
        <v>0.83393967177863759</v>
      </c>
      <c r="CT7">
        <f>ROUND(SUM(Sales[[#This Row],[Mdl Qlty]:[Mdl GarageArea]])+Sales[[#This Row],[Mdl Res Intercept]]*Sales[[#This Row],[Res Adj ]],-2)</f>
        <v>554400</v>
      </c>
      <c r="CU7">
        <f>ROUND(Sales[[#This Row],[25Det]]*Sales[[#This Row],[Det/Nbhd Adj]],-2)</f>
        <v>0</v>
      </c>
      <c r="CV7">
        <f>Sales[[#This Row],[Adjusted Res]]+Sales[[#This Row],[Adj Det ]]</f>
        <v>554400</v>
      </c>
      <c r="CW7">
        <f>ROUND((Sales[[#This Row],[Mdl Land Intercept]]+Sales[[#This Row],[Mdl LnAcres]])*Sales[[#This Row],[Det/Nbhd Adj]],-2)</f>
        <v>-9900</v>
      </c>
      <c r="CX7">
        <f>Sales[[#This Row],[Adjusted Impr Total]]+Sales[[#This Row],[Adjusted Land Total]]</f>
        <v>544500</v>
      </c>
      <c r="CY7">
        <f>IFERROR((Sales[[#This Row],[Adjusted Impr Total]]-Sales[[#This Row],[24Bldg]])/Sales[[#This Row],[24Bldg]],0)</f>
        <v>5.6795180722891567</v>
      </c>
      <c r="CZ7">
        <f>(Sales[[#This Row],[Adjusted Land Total]]-Sales[[#This Row],[24Lnd]])/Sales[[#This Row],[24Lnd]]</f>
        <v>-1.1568938193343898</v>
      </c>
      <c r="DA7">
        <f>(Sales[[#This Row],[Adjusted Total]]-Sales[[#This Row],[24Final]])/Sales[[#This Row],[24Final]]</f>
        <v>2.7268993839835729</v>
      </c>
      <c r="DB7">
        <f>(Sales[[#This Row],[Adjusted Total]]+Sales[[#This Row],[Days Prior Total]])/Sales[[#This Row],[Price]]</f>
        <v>0.99078468768723782</v>
      </c>
    </row>
    <row r="8" spans="1:106" x14ac:dyDescent="0.3">
      <c r="A8">
        <v>2025</v>
      </c>
      <c r="B8" s="1">
        <v>18131741419</v>
      </c>
      <c r="C8">
        <v>-0.52763274208237199</v>
      </c>
      <c r="D8">
        <v>0.59</v>
      </c>
      <c r="E8">
        <v>25559</v>
      </c>
      <c r="F8">
        <v>1</v>
      </c>
      <c r="G8" t="s">
        <v>89</v>
      </c>
      <c r="H8" t="s">
        <v>203</v>
      </c>
      <c r="I8" t="s">
        <v>302</v>
      </c>
      <c r="J8" t="s">
        <v>110</v>
      </c>
      <c r="K8">
        <v>11</v>
      </c>
      <c r="L8">
        <v>331</v>
      </c>
      <c r="M8" t="s">
        <v>313</v>
      </c>
      <c r="N8" t="s">
        <v>206</v>
      </c>
      <c r="O8" t="s">
        <v>258</v>
      </c>
      <c r="P8">
        <v>1998</v>
      </c>
      <c r="Q8">
        <v>1998</v>
      </c>
      <c r="R8">
        <v>20</v>
      </c>
      <c r="S8">
        <v>26</v>
      </c>
      <c r="T8">
        <v>26</v>
      </c>
      <c r="U8">
        <v>2</v>
      </c>
      <c r="V8">
        <v>2505</v>
      </c>
      <c r="W8">
        <v>1757</v>
      </c>
      <c r="X8">
        <v>0</v>
      </c>
      <c r="Y8">
        <v>554</v>
      </c>
      <c r="Z8">
        <v>554</v>
      </c>
      <c r="AA8">
        <v>0</v>
      </c>
      <c r="AB8">
        <v>4816</v>
      </c>
      <c r="AC8">
        <v>5000</v>
      </c>
      <c r="AD8">
        <v>3</v>
      </c>
      <c r="AE8" t="s">
        <v>132</v>
      </c>
      <c r="AF8" t="s">
        <v>275</v>
      </c>
      <c r="AG8" t="s">
        <v>111</v>
      </c>
      <c r="AH8" t="s">
        <v>314</v>
      </c>
      <c r="AI8">
        <v>0</v>
      </c>
      <c r="AJ8">
        <v>3</v>
      </c>
      <c r="AK8">
        <v>0</v>
      </c>
      <c r="AL8">
        <v>1</v>
      </c>
      <c r="AM8">
        <v>2</v>
      </c>
      <c r="AN8">
        <v>20</v>
      </c>
      <c r="AO8">
        <v>1032</v>
      </c>
      <c r="AP8">
        <v>0</v>
      </c>
      <c r="AQ8">
        <v>1032</v>
      </c>
      <c r="AR8">
        <v>0</v>
      </c>
      <c r="AS8">
        <v>0</v>
      </c>
      <c r="AT8">
        <v>0</v>
      </c>
      <c r="AU8">
        <v>0</v>
      </c>
      <c r="AV8">
        <v>100</v>
      </c>
      <c r="AW8">
        <v>100</v>
      </c>
      <c r="AX8">
        <v>1506929</v>
      </c>
      <c r="AY8">
        <v>1431583</v>
      </c>
      <c r="AZ8">
        <v>830</v>
      </c>
      <c r="BA8">
        <v>365</v>
      </c>
      <c r="BB8">
        <v>365</v>
      </c>
      <c r="BC8">
        <v>100</v>
      </c>
      <c r="BD8" s="6">
        <v>44462</v>
      </c>
      <c r="BE8" t="s">
        <v>180</v>
      </c>
      <c r="BF8">
        <v>812500</v>
      </c>
      <c r="BG8">
        <v>812500</v>
      </c>
      <c r="BH8" t="s">
        <v>198</v>
      </c>
      <c r="BI8">
        <v>30</v>
      </c>
      <c r="BJ8" t="s">
        <v>51</v>
      </c>
      <c r="BK8" t="s">
        <v>314</v>
      </c>
      <c r="BL8">
        <v>844000</v>
      </c>
      <c r="BM8">
        <v>130600</v>
      </c>
      <c r="BN8">
        <v>713400</v>
      </c>
      <c r="BO8">
        <v>0</v>
      </c>
      <c r="BP8">
        <v>1.0387692307692307</v>
      </c>
      <c r="BQ8">
        <v>1217181.666529123</v>
      </c>
      <c r="BR8">
        <v>1271041.6285170803</v>
      </c>
      <c r="BS8" s="7">
        <f t="shared" si="0"/>
        <v>0.50597349350364973</v>
      </c>
      <c r="BT8" s="14">
        <f>(Sales[[#This Row],[DP1]]*Lookups!$B$51)+(Sales[[#This Row],[DP2]]*Lookups!$B$52)+(Sales[[#This Row],[DP3]]*Lookups!$B$53)</f>
        <v>-10596.854000000001</v>
      </c>
      <c r="BU8" s="14">
        <f>Lookups!$B$48*0.5</f>
        <v>87214.824999999997</v>
      </c>
      <c r="BV8" s="14">
        <f>Lookups!$B$48*0.5</f>
        <v>87214.824999999997</v>
      </c>
      <c r="BW8" s="14">
        <f>Lookups!$B$49*Sales[[#This Row],[LnAcres]]</f>
        <v>-97909.509328312808</v>
      </c>
      <c r="BX8" s="14">
        <f>VLOOKUP(Sales[[#This Row],[Qlty]],Lookups!$A$54:$E$67,2,FALSE)</f>
        <v>-14329.694740000001</v>
      </c>
      <c r="BY8" s="14">
        <f>VLOOKUP(Sales[[#This Row],[Cnd]],Lookups!$A$68:$E$76,2,FALSE)</f>
        <v>133581.64413</v>
      </c>
      <c r="BZ8" s="14">
        <f>Sales[[#This Row],[Age]]*Lookups!$B$77</f>
        <v>184.51242999999999</v>
      </c>
      <c r="CA8" s="14">
        <f>Sales[[#This Row],[MainFn]]*Lookups!$B$78</f>
        <v>136508.914984</v>
      </c>
      <c r="CB8" s="14">
        <f>Sales[[#This Row],[UpprFn]]*Lookups!$B$79</f>
        <v>0</v>
      </c>
      <c r="CC8" s="14">
        <f>Sales[[#This Row],[AddFn]]*Lookups!$B$80</f>
        <v>33827.471279999998</v>
      </c>
      <c r="CD8" s="14">
        <f>Sales[[#This Row],[Bsmt]]*Lookups!$B$81</f>
        <v>0</v>
      </c>
      <c r="CE8" s="14">
        <f>Sales[[#This Row],[Fixtures]]*Lookups!$B$84</f>
        <v>142171.4</v>
      </c>
      <c r="CF8" s="14">
        <f>SUM(Sales[[#This Row],[Days Prior Total]:[Mdl Fixtures]])</f>
        <v>497867.53475568711</v>
      </c>
      <c r="CG8" s="14">
        <f>ROUND(Sales[[#This Row],[25Det]],-2)</f>
        <v>0</v>
      </c>
      <c r="CH8" s="14">
        <f>ROUND(SUM(Sales[[#This Row],[Mdl LnAcres]:[Mdl Fixtures]])+Sales[[#This Row],[Mdl Res Intercept]]+Sales[[#This Row],[Days Prior Total]],-2)</f>
        <v>410700</v>
      </c>
      <c r="CI8" s="14">
        <f>ROUND(Sales[[#This Row],[Mdl Land Intercept]]+Sales[[#This Row],[Mdl LnAcres]],-2)</f>
        <v>-10700</v>
      </c>
      <c r="CJ8" s="14">
        <f>Sales[[#This Row],[Unadj Res Value]]+Sales[[#This Row],[Unadj Det Value]]+Sales[[#This Row],[Unadj Land Value]]</f>
        <v>576400</v>
      </c>
      <c r="CK8" s="15">
        <f>Sales[[#This Row],[Unadj Total Value]]/Sales[[#This Row],[Price]]</f>
        <v>0.97860780984719864</v>
      </c>
      <c r="CL8" s="15">
        <f>(Sales[[#This Row],[Unadj Total Value]]-Sales[[#This Row],[24Final]])/Sales[[#This Row],[24Final]]</f>
        <v>-1.2844665182394245E-2</v>
      </c>
      <c r="CM8">
        <f>VLOOKUP(Sales[[#This Row],[TNbhd]],Lookups!$M$2:$P$4,4,FALSE)</f>
        <v>0.97570000000000001</v>
      </c>
      <c r="CN8">
        <f>VLOOKUP(Sales[[#This Row],[Qlty]],Lookups!$M$6:$P$20,4,FALSE)</f>
        <v>0.98809999999999998</v>
      </c>
      <c r="CO8">
        <f>VLOOKUP(Sales[[#This Row],[Cnd]],Lookups!$R$6:$U$15,4,FALSE)</f>
        <v>0.98370000000000002</v>
      </c>
      <c r="CP8">
        <f>VLOOKUP(Sales[[#This Row],[LivArea Range]],Lookups!$R$23:$U$39,4,FALSE)</f>
        <v>0.93310000000000004</v>
      </c>
      <c r="CQ8">
        <f>VLOOKUP(Sales[[#This Row],[Decade]],Lookups!$M$23:$P$35,4,FALSE)</f>
        <v>0.99060000000000004</v>
      </c>
      <c r="CR8">
        <f>Sales[[#This Row],[Nbhd Adj]]*0.95</f>
        <v>0.92691499999999993</v>
      </c>
      <c r="CS8">
        <f>Sales[[#This Row],[Nbhd Adj]]*Sales[[#This Row],[Quality Adj]]*Sales[[#This Row],[Condition Adj]]*Sales[[#This Row],[Living Area Adj]]*Sales[[#This Row],[Decade Adj]]*0.95</f>
        <v>0.83277943893048667</v>
      </c>
      <c r="CT8">
        <f>ROUND(SUM(Sales[[#This Row],[Mdl Qlty]:[Mdl GarageArea]])+Sales[[#This Row],[Mdl Res Intercept]]*Sales[[#This Row],[Res Adj ]],-2)</f>
        <v>583200</v>
      </c>
      <c r="CU8">
        <f>ROUND(Sales[[#This Row],[25Det]]*Sales[[#This Row],[Det/Nbhd Adj]],-2)</f>
        <v>0</v>
      </c>
      <c r="CV8">
        <f>Sales[[#This Row],[Adjusted Res]]+Sales[[#This Row],[Adj Det ]]</f>
        <v>583200</v>
      </c>
      <c r="CW8">
        <f>ROUND((Sales[[#This Row],[Mdl Land Intercept]]+Sales[[#This Row],[Mdl LnAcres]])*Sales[[#This Row],[Det/Nbhd Adj]],-2)</f>
        <v>-9900</v>
      </c>
      <c r="CX8">
        <f>Sales[[#This Row],[Adjusted Impr Total]]+Sales[[#This Row],[Adjusted Land Total]]</f>
        <v>573300</v>
      </c>
      <c r="CY8">
        <f>IFERROR((Sales[[#This Row],[Adjusted Impr Total]]-Sales[[#This Row],[24Bldg]])/Sales[[#This Row],[24Bldg]],0)</f>
        <v>0.1265211512458953</v>
      </c>
      <c r="CZ8">
        <f>(Sales[[#This Row],[Adjusted Land Total]]-Sales[[#This Row],[24Lnd]])/Sales[[#This Row],[24Lnd]]</f>
        <v>-1.149546827794562</v>
      </c>
      <c r="DA8">
        <f>(Sales[[#This Row],[Adjusted Total]]-Sales[[#This Row],[24Final]])/Sales[[#This Row],[24Final]]</f>
        <v>-1.8153793457783868E-2</v>
      </c>
      <c r="DB8">
        <f>(Sales[[#This Row],[Adjusted Total]]+Sales[[#This Row],[Days Prior Total]])/Sales[[#This Row],[Price]]</f>
        <v>0.95535338879456699</v>
      </c>
    </row>
    <row r="9" spans="1:106" x14ac:dyDescent="0.3">
      <c r="A9">
        <v>2025</v>
      </c>
      <c r="B9" s="1">
        <v>18131843414</v>
      </c>
      <c r="C9">
        <v>0.90825856017689077</v>
      </c>
      <c r="D9">
        <v>2.48</v>
      </c>
      <c r="E9">
        <v>0</v>
      </c>
      <c r="F9">
        <v>1</v>
      </c>
      <c r="G9" t="s">
        <v>89</v>
      </c>
      <c r="H9">
        <v>3041</v>
      </c>
      <c r="I9" t="s">
        <v>302</v>
      </c>
      <c r="J9" t="s">
        <v>26</v>
      </c>
      <c r="K9">
        <v>11</v>
      </c>
      <c r="L9">
        <v>259</v>
      </c>
      <c r="M9" t="s">
        <v>313</v>
      </c>
      <c r="N9" t="s">
        <v>50</v>
      </c>
      <c r="O9" t="s">
        <v>258</v>
      </c>
      <c r="P9">
        <v>2001</v>
      </c>
      <c r="Q9">
        <v>2001</v>
      </c>
      <c r="R9">
        <v>20</v>
      </c>
      <c r="S9">
        <v>23</v>
      </c>
      <c r="T9">
        <v>23</v>
      </c>
      <c r="U9">
        <v>2</v>
      </c>
      <c r="V9">
        <v>2085</v>
      </c>
      <c r="W9">
        <v>1198</v>
      </c>
      <c r="X9">
        <v>0</v>
      </c>
      <c r="Y9">
        <v>0</v>
      </c>
      <c r="Z9">
        <v>0</v>
      </c>
      <c r="AA9">
        <v>0</v>
      </c>
      <c r="AB9">
        <v>3283</v>
      </c>
      <c r="AC9">
        <v>3500</v>
      </c>
      <c r="AD9">
        <v>2</v>
      </c>
      <c r="AF9" t="s">
        <v>275</v>
      </c>
      <c r="AG9" t="s">
        <v>111</v>
      </c>
      <c r="AH9" t="s">
        <v>314</v>
      </c>
      <c r="AI9">
        <v>0</v>
      </c>
      <c r="AJ9">
        <v>0</v>
      </c>
      <c r="AK9">
        <v>2</v>
      </c>
      <c r="AL9">
        <v>0</v>
      </c>
      <c r="AM9">
        <v>1</v>
      </c>
      <c r="AN9">
        <v>13</v>
      </c>
      <c r="AO9">
        <v>884</v>
      </c>
      <c r="AP9">
        <v>0</v>
      </c>
      <c r="AQ9">
        <v>884</v>
      </c>
      <c r="AR9">
        <v>0</v>
      </c>
      <c r="AS9">
        <v>122</v>
      </c>
      <c r="AT9">
        <v>458</v>
      </c>
      <c r="AU9">
        <v>136</v>
      </c>
      <c r="AV9">
        <v>100</v>
      </c>
      <c r="AW9">
        <v>100</v>
      </c>
      <c r="AX9">
        <v>720465</v>
      </c>
      <c r="AY9">
        <v>691646</v>
      </c>
      <c r="AZ9">
        <v>158</v>
      </c>
      <c r="BA9">
        <v>158</v>
      </c>
      <c r="BB9">
        <v>0</v>
      </c>
      <c r="BC9">
        <v>0</v>
      </c>
      <c r="BD9" s="6">
        <v>45134</v>
      </c>
      <c r="BE9" t="s">
        <v>245</v>
      </c>
      <c r="BF9">
        <v>1395000</v>
      </c>
      <c r="BG9">
        <v>1333877</v>
      </c>
      <c r="BH9" t="s">
        <v>198</v>
      </c>
      <c r="BI9">
        <v>30</v>
      </c>
      <c r="BJ9" t="s">
        <v>51</v>
      </c>
      <c r="BK9" t="s">
        <v>314</v>
      </c>
      <c r="BL9">
        <v>816800</v>
      </c>
      <c r="BM9">
        <v>212100</v>
      </c>
      <c r="BN9">
        <v>604700</v>
      </c>
      <c r="BO9">
        <v>61123</v>
      </c>
      <c r="BP9">
        <v>0.58551971326164876</v>
      </c>
      <c r="BQ9">
        <v>808031.29537961585</v>
      </c>
      <c r="BR9">
        <v>833020.88548973948</v>
      </c>
      <c r="BS9" s="7">
        <f t="shared" si="0"/>
        <v>1.985906646638036E-2</v>
      </c>
      <c r="BT9" s="14">
        <f>(Sales[[#This Row],[DP1]]*Lookups!$B$51)+(Sales[[#This Row],[DP2]]*Lookups!$B$52)+(Sales[[#This Row],[DP3]]*Lookups!$B$53)</f>
        <v>-55160.227258000006</v>
      </c>
      <c r="BU9" s="14">
        <f>Lookups!$B$48*0.5</f>
        <v>87214.824999999997</v>
      </c>
      <c r="BV9" s="14">
        <f>Lookups!$B$48*0.5</f>
        <v>87214.824999999997</v>
      </c>
      <c r="BW9" s="14">
        <f>Lookups!$B$49*Sales[[#This Row],[LnAcres]]</f>
        <v>-97909.509328312808</v>
      </c>
      <c r="BX9" s="14">
        <f>VLOOKUP(Sales[[#This Row],[Qlty]],Lookups!$A$54:$E$67,2,FALSE)</f>
        <v>-14329.694740000001</v>
      </c>
      <c r="BY9" s="14">
        <f>VLOOKUP(Sales[[#This Row],[Cnd]],Lookups!$A$68:$E$76,2,FALSE)</f>
        <v>133581.64413</v>
      </c>
      <c r="BZ9" s="14">
        <f>Sales[[#This Row],[Age]]*Lookups!$B$77</f>
        <v>369.02485999999999</v>
      </c>
      <c r="CA9" s="14">
        <f>Sales[[#This Row],[MainFn]]*Lookups!$B$78</f>
        <v>139963.08793400001</v>
      </c>
      <c r="CB9" s="14">
        <f>Sales[[#This Row],[UpprFn]]*Lookups!$B$79</f>
        <v>0</v>
      </c>
      <c r="CC9" s="14">
        <f>Sales[[#This Row],[AddFn]]*Lookups!$B$80</f>
        <v>0</v>
      </c>
      <c r="CD9" s="14">
        <f>Sales[[#This Row],[Bsmt]]*Lookups!$B$81</f>
        <v>0</v>
      </c>
      <c r="CE9" s="14">
        <f>Sales[[#This Row],[Fixtures]]*Lookups!$B$84</f>
        <v>111706.1</v>
      </c>
      <c r="CF9" s="14">
        <f>SUM(Sales[[#This Row],[Days Prior Total]:[Mdl Fixtures]])</f>
        <v>392650.07559768716</v>
      </c>
      <c r="CG9" s="14">
        <f>ROUND(Sales[[#This Row],[25Det]],-2)</f>
        <v>0</v>
      </c>
      <c r="CH9" s="14">
        <f>ROUND(SUM(Sales[[#This Row],[Mdl LnAcres]:[Mdl Fixtures]])+Sales[[#This Row],[Mdl Res Intercept]]+Sales[[#This Row],[Days Prior Total]],-2)</f>
        <v>305400</v>
      </c>
      <c r="CI9" s="14">
        <f>ROUND(Sales[[#This Row],[Mdl Land Intercept]]+Sales[[#This Row],[Mdl LnAcres]],-2)</f>
        <v>-10700</v>
      </c>
      <c r="CJ9" s="14">
        <f>Sales[[#This Row],[Unadj Res Value]]+Sales[[#This Row],[Unadj Det Value]]+Sales[[#This Row],[Unadj Land Value]]</f>
        <v>474800</v>
      </c>
      <c r="CK9" s="15">
        <f>Sales[[#This Row],[Unadj Total Value]]/Sales[[#This Row],[Price]]</f>
        <v>0.89033903390339031</v>
      </c>
      <c r="CL9" s="15">
        <f>(Sales[[#This Row],[Unadj Total Value]]-Sales[[#This Row],[24Final]])/Sales[[#This Row],[24Final]]</f>
        <v>-2.6251025430680888E-2</v>
      </c>
      <c r="CM9">
        <f>VLOOKUP(Sales[[#This Row],[TNbhd]],Lookups!$M$2:$P$4,4,FALSE)</f>
        <v>0.97570000000000001</v>
      </c>
      <c r="CN9">
        <f>VLOOKUP(Sales[[#This Row],[Qlty]],Lookups!$M$6:$P$20,4,FALSE)</f>
        <v>0.98809999999999998</v>
      </c>
      <c r="CO9">
        <f>VLOOKUP(Sales[[#This Row],[Cnd]],Lookups!$R$6:$U$15,4,FALSE)</f>
        <v>0.98370000000000002</v>
      </c>
      <c r="CP9">
        <f>VLOOKUP(Sales[[#This Row],[LivArea Range]],Lookups!$R$23:$U$39,4,FALSE)</f>
        <v>0.93440000000000001</v>
      </c>
      <c r="CQ9">
        <f>VLOOKUP(Sales[[#This Row],[Decade]],Lookups!$M$23:$P$35,4,FALSE)</f>
        <v>0.99060000000000004</v>
      </c>
      <c r="CR9">
        <f>Sales[[#This Row],[Nbhd Adj]]*0.95</f>
        <v>0.92691499999999993</v>
      </c>
      <c r="CS9">
        <f>Sales[[#This Row],[Nbhd Adj]]*Sales[[#This Row],[Quality Adj]]*Sales[[#This Row],[Condition Adj]]*Sales[[#This Row],[Living Area Adj]]*Sales[[#This Row],[Decade Adj]]*0.95</f>
        <v>0.83393967177863759</v>
      </c>
      <c r="CT9">
        <f>ROUND(SUM(Sales[[#This Row],[Mdl Qlty]:[Mdl GarageArea]])+Sales[[#This Row],[Mdl Res Intercept]]*Sales[[#This Row],[Res Adj ]],-2)</f>
        <v>526100</v>
      </c>
      <c r="CU9">
        <f>ROUND(Sales[[#This Row],[25Det]]*Sales[[#This Row],[Det/Nbhd Adj]],-2)</f>
        <v>0</v>
      </c>
      <c r="CV9">
        <f>Sales[[#This Row],[Adjusted Res]]+Sales[[#This Row],[Adj Det ]]</f>
        <v>526100</v>
      </c>
      <c r="CW9">
        <f>ROUND((Sales[[#This Row],[Mdl Land Intercept]]+Sales[[#This Row],[Mdl LnAcres]])*Sales[[#This Row],[Det/Nbhd Adj]],-2)</f>
        <v>-9900</v>
      </c>
      <c r="CX9">
        <f>Sales[[#This Row],[Adjusted Impr Total]]+Sales[[#This Row],[Adjusted Land Total]]</f>
        <v>516200</v>
      </c>
      <c r="CY9">
        <f>IFERROR((Sales[[#This Row],[Adjusted Impr Total]]-Sales[[#This Row],[24Bldg]])/Sales[[#This Row],[24Bldg]],0)</f>
        <v>0.23934040047114252</v>
      </c>
      <c r="CZ9">
        <f>(Sales[[#This Row],[Adjusted Land Total]]-Sales[[#This Row],[24Lnd]])/Sales[[#This Row],[24Lnd]]</f>
        <v>-1.1568938193343898</v>
      </c>
      <c r="DA9">
        <f>(Sales[[#This Row],[Adjusted Total]]-Sales[[#This Row],[24Final]])/Sales[[#This Row],[24Final]]</f>
        <v>5.8654634946677602E-2</v>
      </c>
      <c r="DB9">
        <f>(Sales[[#This Row],[Adjusted Total]]+Sales[[#This Row],[Days Prior Total]])/Sales[[#This Row],[Price]]</f>
        <v>0.86453602749399938</v>
      </c>
    </row>
    <row r="10" spans="1:106" x14ac:dyDescent="0.3">
      <c r="A10">
        <v>2025</v>
      </c>
      <c r="B10" s="1">
        <v>18131731418</v>
      </c>
      <c r="C10">
        <v>-0.34249030894677601</v>
      </c>
      <c r="D10">
        <v>0.71</v>
      </c>
      <c r="E10">
        <v>0</v>
      </c>
      <c r="F10">
        <v>1</v>
      </c>
      <c r="G10" t="s">
        <v>89</v>
      </c>
      <c r="H10" t="s">
        <v>203</v>
      </c>
      <c r="I10" t="s">
        <v>302</v>
      </c>
      <c r="J10" t="s">
        <v>110</v>
      </c>
      <c r="K10">
        <v>11</v>
      </c>
      <c r="L10">
        <v>259</v>
      </c>
      <c r="M10" t="s">
        <v>4</v>
      </c>
      <c r="N10" t="s">
        <v>257</v>
      </c>
      <c r="O10" s="4" t="s">
        <v>258</v>
      </c>
      <c r="P10">
        <v>2006</v>
      </c>
      <c r="Q10">
        <v>2006</v>
      </c>
      <c r="R10">
        <v>10</v>
      </c>
      <c r="S10">
        <v>18</v>
      </c>
      <c r="T10">
        <v>18</v>
      </c>
      <c r="U10">
        <v>1</v>
      </c>
      <c r="V10">
        <v>1450</v>
      </c>
      <c r="W10">
        <v>0</v>
      </c>
      <c r="X10">
        <v>0</v>
      </c>
      <c r="Y10">
        <v>1450</v>
      </c>
      <c r="Z10">
        <v>1450</v>
      </c>
      <c r="AA10">
        <v>0</v>
      </c>
      <c r="AB10">
        <v>2900</v>
      </c>
      <c r="AC10">
        <v>3000</v>
      </c>
      <c r="AD10">
        <v>0</v>
      </c>
      <c r="AF10" t="s">
        <v>275</v>
      </c>
      <c r="AG10" t="s">
        <v>111</v>
      </c>
      <c r="AH10" t="s">
        <v>314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12</v>
      </c>
      <c r="AO10">
        <v>660</v>
      </c>
      <c r="AP10">
        <v>0</v>
      </c>
      <c r="AQ10">
        <v>660</v>
      </c>
      <c r="AR10">
        <v>0</v>
      </c>
      <c r="AS10">
        <v>0</v>
      </c>
      <c r="AT10">
        <v>0</v>
      </c>
      <c r="AU10">
        <v>0</v>
      </c>
      <c r="AV10">
        <v>100</v>
      </c>
      <c r="AW10">
        <v>100</v>
      </c>
      <c r="AX10">
        <v>496551</v>
      </c>
      <c r="AY10">
        <v>471723</v>
      </c>
      <c r="AZ10">
        <v>969</v>
      </c>
      <c r="BA10">
        <v>365</v>
      </c>
      <c r="BB10">
        <v>365</v>
      </c>
      <c r="BC10">
        <v>239</v>
      </c>
      <c r="BD10" s="6">
        <v>44323</v>
      </c>
      <c r="BE10" t="s">
        <v>267</v>
      </c>
      <c r="BF10">
        <v>431000</v>
      </c>
      <c r="BG10">
        <v>431000</v>
      </c>
      <c r="BH10" t="s">
        <v>198</v>
      </c>
      <c r="BI10">
        <v>30</v>
      </c>
      <c r="BJ10" t="s">
        <v>51</v>
      </c>
      <c r="BK10" t="s">
        <v>314</v>
      </c>
      <c r="BL10">
        <v>587300</v>
      </c>
      <c r="BM10">
        <v>141100</v>
      </c>
      <c r="BN10">
        <v>446200</v>
      </c>
      <c r="BO10">
        <v>0</v>
      </c>
      <c r="BP10">
        <v>1.3626450116009281</v>
      </c>
      <c r="BQ10">
        <v>475945.61494320031</v>
      </c>
      <c r="BR10">
        <v>572699.03763410798</v>
      </c>
      <c r="BS10" s="7">
        <f t="shared" si="0"/>
        <v>-2.4861165274803365E-2</v>
      </c>
      <c r="BT10" s="14">
        <f>(Sales[[#This Row],[DP1]]*Lookups!$B$51)+(Sales[[#This Row],[DP2]]*Lookups!$B$52)+(Sales[[#This Row],[DP3]]*Lookups!$B$53)</f>
        <v>-65277.652710000002</v>
      </c>
      <c r="BU10" s="14">
        <f>Lookups!$B$48*0.5</f>
        <v>87214.824999999997</v>
      </c>
      <c r="BV10" s="14">
        <f>Lookups!$B$48*0.5</f>
        <v>87214.824999999997</v>
      </c>
      <c r="BW10" s="14">
        <f>Lookups!$B$49*Sales[[#This Row],[LnAcres]]</f>
        <v>-115257.49021870131</v>
      </c>
      <c r="BX10" s="14">
        <f>VLOOKUP(Sales[[#This Row],[Qlty]],Lookups!$A$54:$E$67,2,FALSE)</f>
        <v>46722.525125</v>
      </c>
      <c r="BY10" s="14">
        <f>VLOOKUP(Sales[[#This Row],[Cnd]],Lookups!$A$68:$E$76,2,FALSE)</f>
        <v>133581.64413</v>
      </c>
      <c r="BZ10" s="14">
        <f>Sales[[#This Row],[Age]]*Lookups!$B$77</f>
        <v>553.53728999999998</v>
      </c>
      <c r="CA10" s="14">
        <f>Sales[[#This Row],[MainFn]]*Lookups!$B$78</f>
        <v>136508.914984</v>
      </c>
      <c r="CB10" s="14">
        <f>Sales[[#This Row],[UpprFn]]*Lookups!$B$79</f>
        <v>0</v>
      </c>
      <c r="CC10" s="14">
        <f>Sales[[#This Row],[AddFn]]*Lookups!$B$80</f>
        <v>0</v>
      </c>
      <c r="CD10" s="14">
        <f>Sales[[#This Row],[Bsmt]]*Lookups!$B$81</f>
        <v>0</v>
      </c>
      <c r="CE10" s="14">
        <f>Sales[[#This Row],[Fixtures]]*Lookups!$B$84</f>
        <v>111706.1</v>
      </c>
      <c r="CF10" s="14">
        <f>SUM(Sales[[#This Row],[Days Prior Total]:[Mdl Fixtures]])</f>
        <v>422967.22860029864</v>
      </c>
      <c r="CG10" s="14">
        <f>ROUND(Sales[[#This Row],[25Det]],-2)</f>
        <v>0</v>
      </c>
      <c r="CH10" s="14">
        <f>ROUND(SUM(Sales[[#This Row],[Mdl LnAcres]:[Mdl Fixtures]])+Sales[[#This Row],[Mdl Res Intercept]]+Sales[[#This Row],[Days Prior Total]],-2)</f>
        <v>335800</v>
      </c>
      <c r="CI10" s="14">
        <f>ROUND(Sales[[#This Row],[Mdl Land Intercept]]+Sales[[#This Row],[Mdl LnAcres]],-2)</f>
        <v>-28000</v>
      </c>
      <c r="CJ10" s="14">
        <f>Sales[[#This Row],[Unadj Res Value]]+Sales[[#This Row],[Unadj Det Value]]+Sales[[#This Row],[Unadj Land Value]]</f>
        <v>502500</v>
      </c>
      <c r="CK10" s="15">
        <f>Sales[[#This Row],[Unadj Total Value]]/Sales[[#This Row],[Price]]</f>
        <v>0.74103786592892229</v>
      </c>
      <c r="CL10" s="15">
        <f>(Sales[[#This Row],[Unadj Total Value]]-Sales[[#This Row],[24Final]])/Sales[[#This Row],[24Final]]</f>
        <v>-0.24322289156626506</v>
      </c>
      <c r="CM10">
        <f>VLOOKUP(Sales[[#This Row],[TNbhd]],Lookups!$M$2:$P$4,4,FALSE)</f>
        <v>0.97570000000000001</v>
      </c>
      <c r="CN10">
        <f>VLOOKUP(Sales[[#This Row],[Qlty]],Lookups!$M$6:$P$20,4,FALSE)</f>
        <v>0.98329999999999995</v>
      </c>
      <c r="CO10">
        <f>VLOOKUP(Sales[[#This Row],[Cnd]],Lookups!$R$6:$U$15,4,FALSE)</f>
        <v>0.98370000000000002</v>
      </c>
      <c r="CP10">
        <f>VLOOKUP(Sales[[#This Row],[LivArea Range]],Lookups!$R$23:$U$39,4,FALSE)</f>
        <v>0.99099999999999999</v>
      </c>
      <c r="CQ10">
        <f>VLOOKUP(Sales[[#This Row],[Decade]],Lookups!$M$23:$P$35,4,FALSE)</f>
        <v>0.99060000000000004</v>
      </c>
      <c r="CR10">
        <f>Sales[[#This Row],[Nbhd Adj]]*0.95</f>
        <v>0.92691499999999993</v>
      </c>
      <c r="CS10">
        <f>Sales[[#This Row],[Nbhd Adj]]*Sales[[#This Row],[Quality Adj]]*Sales[[#This Row],[Condition Adj]]*Sales[[#This Row],[Living Area Adj]]*Sales[[#This Row],[Decade Adj]]*0.95</f>
        <v>0.88015791530795529</v>
      </c>
      <c r="CT10">
        <f>ROUND(SUM(Sales[[#This Row],[Mdl Qlty]:[Mdl GarageArea]])+Sales[[#This Row],[Mdl Res Intercept]]*Sales[[#This Row],[Res Adj ]],-2)</f>
        <v>585300</v>
      </c>
      <c r="CU10">
        <f>ROUND(Sales[[#This Row],[25Det]]*Sales[[#This Row],[Det/Nbhd Adj]],-2)</f>
        <v>0</v>
      </c>
      <c r="CV10">
        <f>Sales[[#This Row],[Adjusted Res]]+Sales[[#This Row],[Adj Det ]]</f>
        <v>585300</v>
      </c>
      <c r="CW10">
        <f>ROUND((Sales[[#This Row],[Mdl Land Intercept]]+Sales[[#This Row],[Mdl LnAcres]])*Sales[[#This Row],[Det/Nbhd Adj]],-2)</f>
        <v>-26000</v>
      </c>
      <c r="CX10">
        <f>Sales[[#This Row],[Adjusted Impr Total]]+Sales[[#This Row],[Adjusted Land Total]]</f>
        <v>559300</v>
      </c>
      <c r="CY10">
        <f>IFERROR((Sales[[#This Row],[Adjusted Impr Total]]-Sales[[#This Row],[24Bldg]])/Sales[[#This Row],[24Bldg]],0)</f>
        <v>-4.2062193126022912E-2</v>
      </c>
      <c r="CZ10">
        <f>(Sales[[#This Row],[Adjusted Land Total]]-Sales[[#This Row],[24Lnd]])/Sales[[#This Row],[24Lnd]]</f>
        <v>-1.4905660377358489</v>
      </c>
      <c r="DA10">
        <f>(Sales[[#This Row],[Adjusted Total]]-Sales[[#This Row],[24Final]])/Sales[[#This Row],[24Final]]</f>
        <v>-0.15768072289156626</v>
      </c>
      <c r="DB10">
        <f>(Sales[[#This Row],[Adjusted Total]]+Sales[[#This Row],[Days Prior Total]])/Sales[[#This Row],[Price]]</f>
        <v>0.72853585265070353</v>
      </c>
    </row>
    <row r="11" spans="1:106" x14ac:dyDescent="0.3">
      <c r="A11">
        <v>2025</v>
      </c>
      <c r="B11" s="1">
        <v>18131733427</v>
      </c>
      <c r="C11">
        <v>-0.57981849525294205</v>
      </c>
      <c r="D11">
        <v>0.56000000000000005</v>
      </c>
      <c r="E11">
        <v>24529</v>
      </c>
      <c r="F11">
        <v>1</v>
      </c>
      <c r="G11" t="s">
        <v>89</v>
      </c>
      <c r="H11" t="s">
        <v>203</v>
      </c>
      <c r="I11" t="s">
        <v>302</v>
      </c>
      <c r="J11" t="s">
        <v>110</v>
      </c>
      <c r="K11">
        <v>11</v>
      </c>
      <c r="L11">
        <v>259</v>
      </c>
      <c r="M11" t="s">
        <v>204</v>
      </c>
      <c r="N11" t="s">
        <v>50</v>
      </c>
      <c r="O11" t="s">
        <v>258</v>
      </c>
      <c r="P11">
        <v>2006</v>
      </c>
      <c r="Q11">
        <v>2006</v>
      </c>
      <c r="R11">
        <v>10</v>
      </c>
      <c r="S11">
        <v>18</v>
      </c>
      <c r="T11">
        <v>18</v>
      </c>
      <c r="U11">
        <v>1</v>
      </c>
      <c r="V11">
        <v>2465</v>
      </c>
      <c r="W11">
        <v>0</v>
      </c>
      <c r="X11">
        <v>0</v>
      </c>
      <c r="Y11">
        <v>1432</v>
      </c>
      <c r="Z11">
        <v>1432</v>
      </c>
      <c r="AA11">
        <v>0</v>
      </c>
      <c r="AB11">
        <v>3897</v>
      </c>
      <c r="AC11">
        <v>4000</v>
      </c>
      <c r="AD11">
        <v>0</v>
      </c>
      <c r="AE11" t="s">
        <v>132</v>
      </c>
      <c r="AF11" t="s">
        <v>275</v>
      </c>
      <c r="AG11" t="s">
        <v>111</v>
      </c>
      <c r="AH11" t="s">
        <v>314</v>
      </c>
      <c r="AI11">
        <v>0</v>
      </c>
      <c r="AJ11">
        <v>0</v>
      </c>
      <c r="AK11">
        <v>3</v>
      </c>
      <c r="AL11">
        <v>1</v>
      </c>
      <c r="AM11">
        <v>0</v>
      </c>
      <c r="AN11">
        <v>16</v>
      </c>
      <c r="AO11">
        <v>828</v>
      </c>
      <c r="AP11">
        <v>0</v>
      </c>
      <c r="AQ11">
        <v>828</v>
      </c>
      <c r="AR11">
        <v>0</v>
      </c>
      <c r="AS11">
        <v>210</v>
      </c>
      <c r="AT11">
        <v>210</v>
      </c>
      <c r="AU11">
        <v>0</v>
      </c>
      <c r="AV11">
        <v>100</v>
      </c>
      <c r="AW11">
        <v>100</v>
      </c>
      <c r="AX11">
        <v>1028268</v>
      </c>
      <c r="AY11">
        <v>987137</v>
      </c>
      <c r="AZ11">
        <v>948</v>
      </c>
      <c r="BA11">
        <v>365</v>
      </c>
      <c r="BB11">
        <v>365</v>
      </c>
      <c r="BC11">
        <v>218</v>
      </c>
      <c r="BD11" s="6">
        <v>44344</v>
      </c>
      <c r="BE11" t="s">
        <v>122</v>
      </c>
      <c r="BF11">
        <v>1116000</v>
      </c>
      <c r="BG11">
        <v>1043551</v>
      </c>
      <c r="BH11" t="s">
        <v>198</v>
      </c>
      <c r="BI11">
        <v>30</v>
      </c>
      <c r="BJ11" t="s">
        <v>51</v>
      </c>
      <c r="BK11" t="s">
        <v>314</v>
      </c>
      <c r="BL11">
        <v>1082800</v>
      </c>
      <c r="BM11">
        <v>145000</v>
      </c>
      <c r="BN11">
        <v>937800</v>
      </c>
      <c r="BO11">
        <v>72449</v>
      </c>
      <c r="BP11">
        <v>0.97025089605734771</v>
      </c>
      <c r="BQ11">
        <v>768220.84009747487</v>
      </c>
      <c r="BR11">
        <v>858493.95577570645</v>
      </c>
      <c r="BS11" s="7">
        <f t="shared" si="0"/>
        <v>-0.20715371649823933</v>
      </c>
      <c r="BT11" s="14">
        <f>(Sales[[#This Row],[DP1]]*Lookups!$B$51)+(Sales[[#This Row],[DP2]]*Lookups!$B$52)+(Sales[[#This Row],[DP3]]*Lookups!$B$53)</f>
        <v>-35036.224710000002</v>
      </c>
      <c r="BU11" s="14">
        <f>Lookups!$B$48*0.5</f>
        <v>87214.824999999997</v>
      </c>
      <c r="BV11" s="14">
        <f>Lookups!$B$48*0.5</f>
        <v>87214.824999999997</v>
      </c>
      <c r="BW11" s="14">
        <f>Lookups!$B$49*Sales[[#This Row],[LnAcres]]</f>
        <v>-115257.49021870131</v>
      </c>
      <c r="BX11" s="14">
        <f>VLOOKUP(Sales[[#This Row],[Qlty]],Lookups!$A$54:$E$67,2,FALSE)</f>
        <v>141724.10243</v>
      </c>
      <c r="BY11" s="14">
        <f>VLOOKUP(Sales[[#This Row],[Cnd]],Lookups!$A$68:$E$76,2,FALSE)</f>
        <v>133581.64413</v>
      </c>
      <c r="BZ11" s="14">
        <f>Sales[[#This Row],[Age]]*Lookups!$B$77</f>
        <v>553.53728999999998</v>
      </c>
      <c r="CA11" s="14">
        <f>Sales[[#This Row],[MainFn]]*Lookups!$B$78</f>
        <v>92019.167388000002</v>
      </c>
      <c r="CB11" s="14">
        <f>Sales[[#This Row],[UpprFn]]*Lookups!$B$79</f>
        <v>0</v>
      </c>
      <c r="CC11" s="14">
        <f>Sales[[#This Row],[AddFn]]*Lookups!$B$80</f>
        <v>0</v>
      </c>
      <c r="CD11" s="14">
        <f>Sales[[#This Row],[Bsmt]]*Lookups!$B$81</f>
        <v>0</v>
      </c>
      <c r="CE11" s="14">
        <f>Sales[[#This Row],[Fixtures]]*Lookups!$B$84</f>
        <v>101551</v>
      </c>
      <c r="CF11" s="14">
        <f>SUM(Sales[[#This Row],[Days Prior Total]:[Mdl Fixtures]])</f>
        <v>493565.38630929869</v>
      </c>
      <c r="CG11" s="14">
        <f>ROUND(Sales[[#This Row],[25Det]],-2)</f>
        <v>0</v>
      </c>
      <c r="CH11" s="14">
        <f>ROUND(SUM(Sales[[#This Row],[Mdl LnAcres]:[Mdl Fixtures]])+Sales[[#This Row],[Mdl Res Intercept]]+Sales[[#This Row],[Days Prior Total]],-2)</f>
        <v>406400</v>
      </c>
      <c r="CI11" s="14">
        <f>ROUND(Sales[[#This Row],[Mdl Land Intercept]]+Sales[[#This Row],[Mdl LnAcres]],-2)</f>
        <v>-28000</v>
      </c>
      <c r="CJ11" s="14">
        <f>Sales[[#This Row],[Unadj Res Value]]+Sales[[#This Row],[Unadj Det Value]]+Sales[[#This Row],[Unadj Land Value]]</f>
        <v>560200</v>
      </c>
      <c r="CK11" s="15">
        <f>Sales[[#This Row],[Unadj Total Value]]/Sales[[#This Row],[Price]]</f>
        <v>1.3349792198879018</v>
      </c>
      <c r="CL11" s="15">
        <f>(Sales[[#This Row],[Unadj Total Value]]-Sales[[#This Row],[24Final]])/Sales[[#This Row],[24Final]]</f>
        <v>0.33508102955195423</v>
      </c>
      <c r="CM11">
        <f>VLOOKUP(Sales[[#This Row],[TNbhd]],Lookups!$M$2:$P$4,4,FALSE)</f>
        <v>0.97570000000000001</v>
      </c>
      <c r="CN11">
        <f>VLOOKUP(Sales[[#This Row],[Qlty]],Lookups!$M$6:$P$20,4,FALSE)</f>
        <v>1.0051000000000001</v>
      </c>
      <c r="CO11">
        <f>VLOOKUP(Sales[[#This Row],[Cnd]],Lookups!$R$6:$U$15,4,FALSE)</f>
        <v>0.98370000000000002</v>
      </c>
      <c r="CP11">
        <f>VLOOKUP(Sales[[#This Row],[LivArea Range]],Lookups!$R$23:$U$39,4,FALSE)</f>
        <v>1.0062</v>
      </c>
      <c r="CQ11">
        <f>VLOOKUP(Sales[[#This Row],[Decade]],Lookups!$M$23:$P$35,4,FALSE)</f>
        <v>0.99060000000000004</v>
      </c>
      <c r="CR11">
        <f>Sales[[#This Row],[Nbhd Adj]]*0.95</f>
        <v>0.92691499999999993</v>
      </c>
      <c r="CS11">
        <f>Sales[[#This Row],[Nbhd Adj]]*Sales[[#This Row],[Quality Adj]]*Sales[[#This Row],[Condition Adj]]*Sales[[#This Row],[Living Area Adj]]*Sales[[#This Row],[Decade Adj]]*0.95</f>
        <v>0.91347042567919323</v>
      </c>
      <c r="CT11">
        <f>ROUND(SUM(Sales[[#This Row],[Mdl Qlty]:[Mdl GarageArea]])+Sales[[#This Row],[Mdl Res Intercept]]*Sales[[#This Row],[Res Adj ]],-2)</f>
        <v>615700</v>
      </c>
      <c r="CU11">
        <f>ROUND(Sales[[#This Row],[25Det]]*Sales[[#This Row],[Det/Nbhd Adj]],-2)</f>
        <v>0</v>
      </c>
      <c r="CV11">
        <f>Sales[[#This Row],[Adjusted Res]]+Sales[[#This Row],[Adj Det ]]</f>
        <v>615700</v>
      </c>
      <c r="CW11">
        <f>ROUND((Sales[[#This Row],[Mdl Land Intercept]]+Sales[[#This Row],[Mdl LnAcres]])*Sales[[#This Row],[Det/Nbhd Adj]],-2)</f>
        <v>-26000</v>
      </c>
      <c r="CX11">
        <f>Sales[[#This Row],[Adjusted Impr Total]]+Sales[[#This Row],[Adjusted Land Total]]</f>
        <v>589700</v>
      </c>
      <c r="CY11">
        <f>IFERROR((Sales[[#This Row],[Adjusted Impr Total]]-Sales[[#This Row],[24Bldg]])/Sales[[#This Row],[24Bldg]],0)</f>
        <v>0.64361986118526426</v>
      </c>
      <c r="CZ11">
        <f>(Sales[[#This Row],[Adjusted Land Total]]-Sales[[#This Row],[24Lnd]])/Sales[[#This Row],[24Lnd]]</f>
        <v>-1.5777777777777777</v>
      </c>
      <c r="DA11">
        <f>(Sales[[#This Row],[Adjusted Total]]-Sales[[#This Row],[24Final]])/Sales[[#This Row],[24Final]]</f>
        <v>0.40538608198284082</v>
      </c>
      <c r="DB11">
        <f>(Sales[[#This Row],[Adjusted Total]]+Sales[[#This Row],[Days Prior Total]])/Sales[[#This Row],[Price]]</f>
        <v>1.321786172860983</v>
      </c>
    </row>
    <row r="12" spans="1:106" x14ac:dyDescent="0.3">
      <c r="A12">
        <v>2025</v>
      </c>
      <c r="B12" s="1">
        <v>18131524011</v>
      </c>
      <c r="C12">
        <v>1.589235205116581</v>
      </c>
      <c r="D12">
        <v>4.9000000000000004</v>
      </c>
      <c r="E12">
        <v>213431</v>
      </c>
      <c r="F12">
        <v>5</v>
      </c>
      <c r="G12" t="s">
        <v>89</v>
      </c>
      <c r="H12">
        <v>3041</v>
      </c>
      <c r="I12" t="s">
        <v>302</v>
      </c>
      <c r="J12" t="s">
        <v>26</v>
      </c>
      <c r="K12">
        <v>11</v>
      </c>
      <c r="L12">
        <v>331</v>
      </c>
      <c r="M12" t="s">
        <v>313</v>
      </c>
      <c r="N12" t="s">
        <v>274</v>
      </c>
      <c r="O12" t="s">
        <v>258</v>
      </c>
      <c r="P12">
        <v>2008</v>
      </c>
      <c r="Q12">
        <v>2008</v>
      </c>
      <c r="R12">
        <v>10</v>
      </c>
      <c r="S12">
        <v>16</v>
      </c>
      <c r="T12">
        <v>16</v>
      </c>
      <c r="U12">
        <v>1</v>
      </c>
      <c r="V12">
        <v>3768</v>
      </c>
      <c r="W12">
        <v>0</v>
      </c>
      <c r="X12">
        <v>564</v>
      </c>
      <c r="Y12">
        <v>0</v>
      </c>
      <c r="Z12">
        <v>0</v>
      </c>
      <c r="AA12">
        <v>0</v>
      </c>
      <c r="AB12">
        <v>4332</v>
      </c>
      <c r="AC12">
        <v>4500</v>
      </c>
      <c r="AD12">
        <v>3</v>
      </c>
      <c r="AF12" t="s">
        <v>275</v>
      </c>
      <c r="AG12" t="s">
        <v>111</v>
      </c>
      <c r="AH12" t="s">
        <v>314</v>
      </c>
      <c r="AI12">
        <v>0</v>
      </c>
      <c r="AJ12">
        <v>0</v>
      </c>
      <c r="AK12">
        <v>0</v>
      </c>
      <c r="AL12">
        <v>2</v>
      </c>
      <c r="AM12">
        <v>1</v>
      </c>
      <c r="AN12">
        <v>17</v>
      </c>
      <c r="AO12">
        <v>1214</v>
      </c>
      <c r="AP12">
        <v>0</v>
      </c>
      <c r="AQ12">
        <v>1214</v>
      </c>
      <c r="AR12">
        <v>0</v>
      </c>
      <c r="AS12">
        <v>247</v>
      </c>
      <c r="AT12">
        <v>306</v>
      </c>
      <c r="AU12">
        <v>0</v>
      </c>
      <c r="AV12">
        <v>100</v>
      </c>
      <c r="AW12">
        <v>100</v>
      </c>
      <c r="AX12">
        <v>1023307</v>
      </c>
      <c r="AY12">
        <v>736781</v>
      </c>
      <c r="AZ12">
        <v>249</v>
      </c>
      <c r="BA12">
        <v>249</v>
      </c>
      <c r="BB12">
        <v>0</v>
      </c>
      <c r="BC12">
        <v>0</v>
      </c>
      <c r="BD12" s="6">
        <v>45043</v>
      </c>
      <c r="BE12" t="s">
        <v>218</v>
      </c>
      <c r="BF12">
        <v>1375000</v>
      </c>
      <c r="BG12">
        <v>1375000</v>
      </c>
      <c r="BH12" t="s">
        <v>198</v>
      </c>
      <c r="BI12">
        <v>30</v>
      </c>
      <c r="BJ12" t="s">
        <v>51</v>
      </c>
      <c r="BK12" t="s">
        <v>314</v>
      </c>
      <c r="BL12">
        <v>962900</v>
      </c>
      <c r="BM12">
        <v>250800</v>
      </c>
      <c r="BN12">
        <v>712100</v>
      </c>
      <c r="BO12">
        <v>0</v>
      </c>
      <c r="BP12">
        <v>0.70029090909090908</v>
      </c>
      <c r="BQ12">
        <v>1048637.451070006</v>
      </c>
      <c r="BR12">
        <v>1088019.7797878589</v>
      </c>
      <c r="BS12" s="7">
        <f t="shared" si="0"/>
        <v>0.12994057512499632</v>
      </c>
      <c r="BT12" s="14">
        <f>(Sales[[#This Row],[DP1]]*Lookups!$B$51)+(Sales[[#This Row],[DP2]]*Lookups!$B$52)+(Sales[[#This Row],[DP3]]*Lookups!$B$53)</f>
        <v>-31024.606710000004</v>
      </c>
      <c r="BU12" s="14">
        <f>Lookups!$B$48*0.5</f>
        <v>87214.824999999997</v>
      </c>
      <c r="BV12" s="14">
        <f>Lookups!$B$48*0.5</f>
        <v>87214.824999999997</v>
      </c>
      <c r="BW12" s="14">
        <f>Lookups!$B$49*Sales[[#This Row],[LnAcres]]</f>
        <v>-97909.509328312808</v>
      </c>
      <c r="BX12" s="14">
        <f>VLOOKUP(Sales[[#This Row],[Qlty]],Lookups!$A$54:$E$67,2,FALSE)</f>
        <v>141724.10243</v>
      </c>
      <c r="BY12" s="14">
        <f>VLOOKUP(Sales[[#This Row],[Cnd]],Lookups!$A$68:$E$76,2,FALSE)</f>
        <v>133581.64413</v>
      </c>
      <c r="BZ12" s="14">
        <f>Sales[[#This Row],[Age]]*Lookups!$B$77</f>
        <v>553.53728999999998</v>
      </c>
      <c r="CA12" s="14">
        <f>Sales[[#This Row],[MainFn]]*Lookups!$B$78</f>
        <v>137268.833033</v>
      </c>
      <c r="CB12" s="14">
        <f>Sales[[#This Row],[UpprFn]]*Lookups!$B$79</f>
        <v>98384.15340000001</v>
      </c>
      <c r="CC12" s="14">
        <f>Sales[[#This Row],[AddFn]]*Lookups!$B$80</f>
        <v>0</v>
      </c>
      <c r="CD12" s="14">
        <f>Sales[[#This Row],[Bsmt]]*Lookups!$B$81</f>
        <v>0</v>
      </c>
      <c r="CE12" s="14">
        <f>Sales[[#This Row],[Fixtures]]*Lookups!$B$84</f>
        <v>152326.5</v>
      </c>
      <c r="CF12" s="14">
        <f>SUM(Sales[[#This Row],[Days Prior Total]:[Mdl Fixtures]])</f>
        <v>709334.30424468732</v>
      </c>
      <c r="CG12" s="14">
        <f>ROUND(Sales[[#This Row],[25Det]],-2)</f>
        <v>0</v>
      </c>
      <c r="CH12" s="14">
        <f>ROUND(SUM(Sales[[#This Row],[Mdl LnAcres]:[Mdl Fixtures]])+Sales[[#This Row],[Mdl Res Intercept]]+Sales[[#This Row],[Days Prior Total]],-2)</f>
        <v>622100</v>
      </c>
      <c r="CI12" s="14">
        <f>ROUND(Sales[[#This Row],[Mdl Land Intercept]]+Sales[[#This Row],[Mdl LnAcres]],-2)</f>
        <v>-10700</v>
      </c>
      <c r="CJ12" s="14">
        <f>Sales[[#This Row],[Unadj Res Value]]+Sales[[#This Row],[Unadj Det Value]]+Sales[[#This Row],[Unadj Land Value]]</f>
        <v>786500</v>
      </c>
      <c r="CK12" s="15">
        <f>Sales[[#This Row],[Unadj Total Value]]/Sales[[#This Row],[Price]]</f>
        <v>0.85559251821601612</v>
      </c>
      <c r="CL12" s="15">
        <f>(Sales[[#This Row],[Unadj Total Value]]-Sales[[#This Row],[24Final]])/Sales[[#This Row],[24Final]]</f>
        <v>-0.16303075449611579</v>
      </c>
      <c r="CM12">
        <f>VLOOKUP(Sales[[#This Row],[TNbhd]],Lookups!$M$2:$P$4,4,FALSE)</f>
        <v>0.97570000000000001</v>
      </c>
      <c r="CN12">
        <f>VLOOKUP(Sales[[#This Row],[Qlty]],Lookups!$M$6:$P$20,4,FALSE)</f>
        <v>1.0051000000000001</v>
      </c>
      <c r="CO12">
        <f>VLOOKUP(Sales[[#This Row],[Cnd]],Lookups!$R$6:$U$15,4,FALSE)</f>
        <v>0.98370000000000002</v>
      </c>
      <c r="CP12">
        <f>VLOOKUP(Sales[[#This Row],[LivArea Range]],Lookups!$R$23:$U$39,4,FALSE)</f>
        <v>1.034</v>
      </c>
      <c r="CQ12">
        <f>VLOOKUP(Sales[[#This Row],[Decade]],Lookups!$M$23:$P$35,4,FALSE)</f>
        <v>0.99060000000000004</v>
      </c>
      <c r="CR12">
        <f>Sales[[#This Row],[Nbhd Adj]]*0.95</f>
        <v>0.92691499999999993</v>
      </c>
      <c r="CS12">
        <f>Sales[[#This Row],[Nbhd Adj]]*Sales[[#This Row],[Quality Adj]]*Sales[[#This Row],[Condition Adj]]*Sales[[#This Row],[Living Area Adj]]*Sales[[#This Row],[Decade Adj]]*0.95</f>
        <v>0.93870842789931008</v>
      </c>
      <c r="CT12">
        <f>ROUND(SUM(Sales[[#This Row],[Mdl Qlty]:[Mdl GarageArea]])+Sales[[#This Row],[Mdl Res Intercept]]*Sales[[#This Row],[Res Adj ]],-2)</f>
        <v>822900</v>
      </c>
      <c r="CU12">
        <f>ROUND(Sales[[#This Row],[25Det]]*Sales[[#This Row],[Det/Nbhd Adj]],-2)</f>
        <v>0</v>
      </c>
      <c r="CV12">
        <f>Sales[[#This Row],[Adjusted Res]]+Sales[[#This Row],[Adj Det ]]</f>
        <v>822900</v>
      </c>
      <c r="CW12">
        <f>ROUND((Sales[[#This Row],[Mdl Land Intercept]]+Sales[[#This Row],[Mdl LnAcres]])*Sales[[#This Row],[Det/Nbhd Adj]],-2)</f>
        <v>-9900</v>
      </c>
      <c r="CX12">
        <f>Sales[[#This Row],[Adjusted Impr Total]]+Sales[[#This Row],[Adjusted Land Total]]</f>
        <v>813000</v>
      </c>
      <c r="CY12">
        <f>IFERROR((Sales[[#This Row],[Adjusted Impr Total]]-Sales[[#This Row],[24Bldg]])/Sales[[#This Row],[24Bldg]],0)</f>
        <v>-6.1366487966237025E-2</v>
      </c>
      <c r="CZ12">
        <f>(Sales[[#This Row],[Adjusted Land Total]]-Sales[[#This Row],[24Lnd]])/Sales[[#This Row],[24Lnd]]</f>
        <v>-1.1571428571428573</v>
      </c>
      <c r="DA12">
        <f>(Sales[[#This Row],[Adjusted Total]]-Sales[[#This Row],[24Final]])/Sales[[#This Row],[24Final]]</f>
        <v>-0.13483026497818454</v>
      </c>
      <c r="DB12">
        <f>(Sales[[#This Row],[Adjusted Total]]+Sales[[#This Row],[Days Prior Total]])/Sales[[#This Row],[Price]]</f>
        <v>0.85067043347482618</v>
      </c>
    </row>
    <row r="13" spans="1:106" x14ac:dyDescent="0.3">
      <c r="A13">
        <v>2025</v>
      </c>
      <c r="B13" s="1">
        <v>18131713420</v>
      </c>
      <c r="C13">
        <v>1.3862943611198906</v>
      </c>
      <c r="D13">
        <v>4</v>
      </c>
      <c r="E13">
        <v>0</v>
      </c>
      <c r="F13">
        <v>1</v>
      </c>
      <c r="G13" t="s">
        <v>89</v>
      </c>
      <c r="H13" t="s">
        <v>203</v>
      </c>
      <c r="I13" t="s">
        <v>302</v>
      </c>
      <c r="J13" t="s">
        <v>26</v>
      </c>
      <c r="K13">
        <v>11</v>
      </c>
      <c r="L13">
        <v>331</v>
      </c>
      <c r="M13" t="s">
        <v>313</v>
      </c>
      <c r="N13" t="s">
        <v>230</v>
      </c>
      <c r="O13" t="s">
        <v>76</v>
      </c>
      <c r="P13">
        <v>1985</v>
      </c>
      <c r="Q13">
        <v>1985</v>
      </c>
      <c r="R13">
        <v>30</v>
      </c>
      <c r="S13">
        <v>39</v>
      </c>
      <c r="T13">
        <v>39</v>
      </c>
      <c r="U13">
        <v>3</v>
      </c>
      <c r="V13">
        <v>1536</v>
      </c>
      <c r="W13">
        <v>1683</v>
      </c>
      <c r="X13">
        <v>0</v>
      </c>
      <c r="Y13">
        <v>900</v>
      </c>
      <c r="Z13">
        <v>0</v>
      </c>
      <c r="AA13">
        <v>900</v>
      </c>
      <c r="AB13">
        <v>3219</v>
      </c>
      <c r="AC13">
        <v>3500</v>
      </c>
      <c r="AD13">
        <v>0</v>
      </c>
      <c r="AF13" t="s">
        <v>275</v>
      </c>
      <c r="AG13" t="s">
        <v>111</v>
      </c>
      <c r="AH13" t="s">
        <v>314</v>
      </c>
      <c r="AI13">
        <v>0</v>
      </c>
      <c r="AJ13">
        <v>4</v>
      </c>
      <c r="AK13">
        <v>0</v>
      </c>
      <c r="AL13">
        <v>2</v>
      </c>
      <c r="AM13">
        <v>0</v>
      </c>
      <c r="AN13">
        <v>18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100</v>
      </c>
      <c r="AW13">
        <v>100</v>
      </c>
      <c r="AX13">
        <v>1450309</v>
      </c>
      <c r="AY13">
        <v>1319781</v>
      </c>
      <c r="AZ13">
        <v>853</v>
      </c>
      <c r="BA13">
        <v>365</v>
      </c>
      <c r="BB13">
        <v>365</v>
      </c>
      <c r="BC13">
        <v>123</v>
      </c>
      <c r="BD13" s="6">
        <v>44439</v>
      </c>
      <c r="BE13" t="s">
        <v>100</v>
      </c>
      <c r="BF13">
        <v>2000000</v>
      </c>
      <c r="BG13">
        <v>1682747</v>
      </c>
      <c r="BH13" t="s">
        <v>198</v>
      </c>
      <c r="BI13">
        <v>30</v>
      </c>
      <c r="BJ13" t="s">
        <v>51</v>
      </c>
      <c r="BK13" t="s">
        <v>314</v>
      </c>
      <c r="BL13">
        <v>1696800</v>
      </c>
      <c r="BM13">
        <v>81400</v>
      </c>
      <c r="BN13">
        <v>1613600</v>
      </c>
      <c r="BO13">
        <v>317253</v>
      </c>
      <c r="BP13">
        <v>0.84840000000000004</v>
      </c>
      <c r="BQ13">
        <v>1326906.7799816325</v>
      </c>
      <c r="BR13">
        <v>1387864.2210787111</v>
      </c>
      <c r="BS13" s="7">
        <f t="shared" si="0"/>
        <v>-0.18206964811485674</v>
      </c>
      <c r="BT13" s="14">
        <f>(Sales[[#This Row],[DP1]]*Lookups!$B$51)+(Sales[[#This Row],[DP2]]*Lookups!$B$52)+(Sales[[#This Row],[DP3]]*Lookups!$B$53)</f>
        <v>-52115.601786000007</v>
      </c>
      <c r="BU13" s="14">
        <f>Lookups!$B$48*0.5</f>
        <v>87214.824999999997</v>
      </c>
      <c r="BV13" s="14">
        <f>Lookups!$B$48*0.5</f>
        <v>87214.824999999997</v>
      </c>
      <c r="BW13" s="14">
        <f>Lookups!$B$49*Sales[[#This Row],[LnAcres]]</f>
        <v>-33714.35181196651</v>
      </c>
      <c r="BX13" s="14">
        <f>VLOOKUP(Sales[[#This Row],[Qlty]],Lookups!$A$54:$E$67,2,FALSE)</f>
        <v>30313.66692</v>
      </c>
      <c r="BY13" s="14">
        <f>VLOOKUP(Sales[[#This Row],[Cnd]],Lookups!$A$68:$E$76,2,FALSE)</f>
        <v>133581.64413</v>
      </c>
      <c r="BZ13" s="14">
        <f>Sales[[#This Row],[Age]]*Lookups!$B$77</f>
        <v>738.04971999999998</v>
      </c>
      <c r="CA13" s="14">
        <f>Sales[[#This Row],[MainFn]]*Lookups!$B$78</f>
        <v>98029.428321000014</v>
      </c>
      <c r="CB13" s="14">
        <f>Sales[[#This Row],[UpprFn]]*Lookups!$B$79</f>
        <v>0</v>
      </c>
      <c r="CC13" s="14">
        <f>Sales[[#This Row],[AddFn]]*Lookups!$B$80</f>
        <v>0</v>
      </c>
      <c r="CD13" s="14">
        <f>Sales[[#This Row],[Bsmt]]*Lookups!$B$81</f>
        <v>26291.356701999997</v>
      </c>
      <c r="CE13" s="14">
        <f>Sales[[#This Row],[Fixtures]]*Lookups!$B$84</f>
        <v>111706.1</v>
      </c>
      <c r="CF13" s="14">
        <f>SUM(Sales[[#This Row],[Days Prior Total]:[Mdl Fixtures]])</f>
        <v>489259.94219503354</v>
      </c>
      <c r="CG13" s="14">
        <f>ROUND(Sales[[#This Row],[25Det]],-2)</f>
        <v>0</v>
      </c>
      <c r="CH13" s="14">
        <f>ROUND(SUM(Sales[[#This Row],[Mdl LnAcres]:[Mdl Fixtures]])+Sales[[#This Row],[Mdl Res Intercept]]+Sales[[#This Row],[Days Prior Total]],-2)</f>
        <v>402000</v>
      </c>
      <c r="CI13" s="14">
        <f>ROUND(Sales[[#This Row],[Mdl Land Intercept]]+Sales[[#This Row],[Mdl LnAcres]],-2)</f>
        <v>53500</v>
      </c>
      <c r="CJ13" s="14">
        <f>Sales[[#This Row],[Unadj Res Value]]+Sales[[#This Row],[Unadj Det Value]]+Sales[[#This Row],[Unadj Land Value]]</f>
        <v>570400</v>
      </c>
      <c r="CK13" s="15">
        <f>Sales[[#This Row],[Unadj Total Value]]/Sales[[#This Row],[Price]]</f>
        <v>1.1408</v>
      </c>
      <c r="CL13" s="15">
        <f>(Sales[[#This Row],[Unadj Total Value]]-Sales[[#This Row],[24Final]])/Sales[[#This Row],[24Final]]</f>
        <v>0.1705315001026062</v>
      </c>
      <c r="CM13">
        <f>VLOOKUP(Sales[[#This Row],[TNbhd]],Lookups!$M$2:$P$4,4,FALSE)</f>
        <v>0.97570000000000001</v>
      </c>
      <c r="CN13">
        <f>VLOOKUP(Sales[[#This Row],[Qlty]],Lookups!$M$6:$P$20,4,FALSE)</f>
        <v>0.85299999999999998</v>
      </c>
      <c r="CO13">
        <f>VLOOKUP(Sales[[#This Row],[Cnd]],Lookups!$R$6:$U$15,4,FALSE)</f>
        <v>0.98370000000000002</v>
      </c>
      <c r="CP13">
        <f>VLOOKUP(Sales[[#This Row],[LivArea Range]],Lookups!$R$23:$U$39,4,FALSE)</f>
        <v>0.93440000000000001</v>
      </c>
      <c r="CQ13">
        <f>VLOOKUP(Sales[[#This Row],[Decade]],Lookups!$M$23:$P$35,4,FALSE)</f>
        <v>0.99060000000000004</v>
      </c>
      <c r="CR13">
        <f>Sales[[#This Row],[Nbhd Adj]]*0.95</f>
        <v>0.92691499999999993</v>
      </c>
      <c r="CS13">
        <f>Sales[[#This Row],[Nbhd Adj]]*Sales[[#This Row],[Quality Adj]]*Sales[[#This Row],[Condition Adj]]*Sales[[#This Row],[Living Area Adj]]*Sales[[#This Row],[Decade Adj]]*0.95</f>
        <v>0.7199175589790282</v>
      </c>
      <c r="CT13">
        <f>ROUND(SUM(Sales[[#This Row],[Mdl Qlty]:[Mdl GarageArea]])+Sales[[#This Row],[Mdl Res Intercept]]*Sales[[#This Row],[Res Adj ]],-2)</f>
        <v>544600</v>
      </c>
      <c r="CU13">
        <f>ROUND(Sales[[#This Row],[25Det]]*Sales[[#This Row],[Det/Nbhd Adj]],-2)</f>
        <v>0</v>
      </c>
      <c r="CV13">
        <f>Sales[[#This Row],[Adjusted Res]]+Sales[[#This Row],[Adj Det ]]</f>
        <v>544600</v>
      </c>
      <c r="CW13">
        <f>ROUND((Sales[[#This Row],[Mdl Land Intercept]]+Sales[[#This Row],[Mdl LnAcres]])*Sales[[#This Row],[Det/Nbhd Adj]],-2)</f>
        <v>49600</v>
      </c>
      <c r="CX13">
        <f>Sales[[#This Row],[Adjusted Impr Total]]+Sales[[#This Row],[Adjusted Land Total]]</f>
        <v>594200</v>
      </c>
      <c r="CY13">
        <f>IFERROR((Sales[[#This Row],[Adjusted Impr Total]]-Sales[[#This Row],[24Bldg]])/Sales[[#This Row],[24Bldg]],0)</f>
        <v>0.3503595338457724</v>
      </c>
      <c r="CZ13">
        <f>(Sales[[#This Row],[Adjusted Land Total]]-Sales[[#This Row],[24Lnd]])/Sales[[#This Row],[24Lnd]]</f>
        <v>-0.40952380952380951</v>
      </c>
      <c r="DA13">
        <f>(Sales[[#This Row],[Adjusted Total]]-Sales[[#This Row],[24Final]])/Sales[[#This Row],[24Final]]</f>
        <v>0.21937205007182434</v>
      </c>
      <c r="DB13">
        <f>(Sales[[#This Row],[Adjusted Total]]+Sales[[#This Row],[Days Prior Total]])/Sales[[#This Row],[Price]]</f>
        <v>1.084168796428</v>
      </c>
    </row>
    <row r="14" spans="1:106" x14ac:dyDescent="0.3">
      <c r="A14">
        <v>2025</v>
      </c>
      <c r="B14" s="1">
        <v>18131742411</v>
      </c>
      <c r="C14">
        <v>0.69813472207098426</v>
      </c>
      <c r="D14">
        <v>2.0099999999999998</v>
      </c>
      <c r="E14">
        <v>87372</v>
      </c>
      <c r="F14">
        <v>1</v>
      </c>
      <c r="G14" t="s">
        <v>89</v>
      </c>
      <c r="H14" t="s">
        <v>203</v>
      </c>
      <c r="I14" t="s">
        <v>302</v>
      </c>
      <c r="J14" t="s">
        <v>110</v>
      </c>
      <c r="K14">
        <v>11</v>
      </c>
      <c r="L14">
        <v>331</v>
      </c>
      <c r="M14" t="s">
        <v>313</v>
      </c>
      <c r="N14" t="s">
        <v>205</v>
      </c>
      <c r="O14" t="s">
        <v>76</v>
      </c>
      <c r="P14">
        <v>2002</v>
      </c>
      <c r="Q14">
        <v>2002</v>
      </c>
      <c r="R14">
        <v>20</v>
      </c>
      <c r="S14">
        <v>22</v>
      </c>
      <c r="T14">
        <v>22</v>
      </c>
      <c r="U14">
        <v>1</v>
      </c>
      <c r="V14">
        <v>1143</v>
      </c>
      <c r="W14">
        <v>0</v>
      </c>
      <c r="X14">
        <v>0</v>
      </c>
      <c r="Y14">
        <v>0</v>
      </c>
      <c r="Z14">
        <v>0</v>
      </c>
      <c r="AA14">
        <v>0</v>
      </c>
      <c r="AB14">
        <v>1143</v>
      </c>
      <c r="AC14">
        <v>1500</v>
      </c>
      <c r="AD14">
        <v>0</v>
      </c>
      <c r="AF14" t="s">
        <v>275</v>
      </c>
      <c r="AG14" t="s">
        <v>111</v>
      </c>
      <c r="AH14" t="s">
        <v>314</v>
      </c>
      <c r="AI14">
        <v>0</v>
      </c>
      <c r="AJ14">
        <v>0</v>
      </c>
      <c r="AK14">
        <v>1</v>
      </c>
      <c r="AL14">
        <v>0</v>
      </c>
      <c r="AM14">
        <v>0</v>
      </c>
      <c r="AN14">
        <v>8</v>
      </c>
      <c r="AO14">
        <v>0</v>
      </c>
      <c r="AP14">
        <v>0</v>
      </c>
      <c r="AQ14">
        <v>0</v>
      </c>
      <c r="AR14">
        <v>418</v>
      </c>
      <c r="AS14">
        <v>0</v>
      </c>
      <c r="AT14">
        <v>882</v>
      </c>
      <c r="AU14">
        <v>394</v>
      </c>
      <c r="AV14">
        <v>100</v>
      </c>
      <c r="AW14">
        <v>100</v>
      </c>
      <c r="AX14">
        <v>237495</v>
      </c>
      <c r="AY14">
        <v>225620</v>
      </c>
      <c r="AZ14">
        <v>790</v>
      </c>
      <c r="BA14">
        <v>365</v>
      </c>
      <c r="BB14">
        <v>365</v>
      </c>
      <c r="BC14">
        <v>60</v>
      </c>
      <c r="BD14" s="6">
        <v>44502</v>
      </c>
      <c r="BE14" t="s">
        <v>319</v>
      </c>
      <c r="BF14">
        <v>1655000</v>
      </c>
      <c r="BG14">
        <v>1596361</v>
      </c>
      <c r="BH14" t="s">
        <v>251</v>
      </c>
      <c r="BI14">
        <v>30</v>
      </c>
      <c r="BJ14" t="s">
        <v>51</v>
      </c>
      <c r="BK14" t="s">
        <v>314</v>
      </c>
      <c r="BL14">
        <v>1274200</v>
      </c>
      <c r="BM14">
        <v>200200</v>
      </c>
      <c r="BN14">
        <v>1074000</v>
      </c>
      <c r="BO14">
        <v>58639</v>
      </c>
      <c r="BP14">
        <v>0.76990936555891243</v>
      </c>
      <c r="BQ14">
        <v>460007.39847526618</v>
      </c>
      <c r="BR14">
        <v>501523.91853431682</v>
      </c>
      <c r="BS14" s="7">
        <f t="shared" si="0"/>
        <v>-0.60640094291766067</v>
      </c>
      <c r="BT14" s="14">
        <f>(Sales[[#This Row],[DP1]]*Lookups!$B$51)+(Sales[[#This Row],[DP2]]*Lookups!$B$52)+(Sales[[#This Row],[DP3]]*Lookups!$B$53)</f>
        <v>-103542.31671</v>
      </c>
      <c r="BU14" s="14">
        <f>Lookups!$B$48*0.5</f>
        <v>87214.824999999997</v>
      </c>
      <c r="BV14" s="14">
        <f>Lookups!$B$48*0.5</f>
        <v>87214.824999999997</v>
      </c>
      <c r="BW14" s="14">
        <f>Lookups!$B$49*Sales[[#This Row],[LnAcres]]</f>
        <v>-28517.585766758784</v>
      </c>
      <c r="BX14" s="14">
        <f>VLOOKUP(Sales[[#This Row],[Qlty]],Lookups!$A$54:$E$67,2,FALSE)</f>
        <v>-14329.694740000001</v>
      </c>
      <c r="BY14" s="14">
        <f>VLOOKUP(Sales[[#This Row],[Cnd]],Lookups!$A$68:$E$76,2,FALSE)</f>
        <v>133581.64413</v>
      </c>
      <c r="BZ14" s="14">
        <f>Sales[[#This Row],[Age]]*Lookups!$B$77</f>
        <v>738.04971999999998</v>
      </c>
      <c r="CA14" s="14">
        <f>Sales[[#This Row],[MainFn]]*Lookups!$B$78</f>
        <v>104454.19000800001</v>
      </c>
      <c r="CB14" s="14">
        <f>Sales[[#This Row],[UpprFn]]*Lookups!$B$79</f>
        <v>64610.488800000006</v>
      </c>
      <c r="CC14" s="14">
        <f>Sales[[#This Row],[AddFn]]*Lookups!$B$80</f>
        <v>0</v>
      </c>
      <c r="CD14" s="14">
        <f>Sales[[#This Row],[Bsmt]]*Lookups!$B$81</f>
        <v>0</v>
      </c>
      <c r="CE14" s="14">
        <f>Sales[[#This Row],[Fixtures]]*Lookups!$B$84</f>
        <v>91395.900000000009</v>
      </c>
      <c r="CF14" s="14">
        <f>SUM(Sales[[#This Row],[Days Prior Total]:[Mdl Fixtures]])</f>
        <v>422820.32544124121</v>
      </c>
      <c r="CG14" s="14">
        <f>ROUND(Sales[[#This Row],[25Det]],-2)</f>
        <v>0</v>
      </c>
      <c r="CH14" s="14">
        <f>ROUND(SUM(Sales[[#This Row],[Mdl LnAcres]:[Mdl Fixtures]])+Sales[[#This Row],[Mdl Res Intercept]]+Sales[[#This Row],[Days Prior Total]],-2)</f>
        <v>335600</v>
      </c>
      <c r="CI14" s="14">
        <f>ROUND(Sales[[#This Row],[Mdl Land Intercept]]+Sales[[#This Row],[Mdl LnAcres]],-2)</f>
        <v>58700</v>
      </c>
      <c r="CJ14" s="14">
        <f>Sales[[#This Row],[Unadj Res Value]]+Sales[[#This Row],[Unadj Det Value]]+Sales[[#This Row],[Unadj Land Value]]</f>
        <v>494700</v>
      </c>
      <c r="CK14" s="15">
        <f>Sales[[#This Row],[Unadj Total Value]]/Sales[[#This Row],[Price]]</f>
        <v>0.90109289617486343</v>
      </c>
      <c r="CL14" s="15">
        <f>(Sales[[#This Row],[Unadj Total Value]]-Sales[[#This Row],[24Final]])/Sales[[#This Row],[24Final]]</f>
        <v>-7.4462114125350795E-2</v>
      </c>
      <c r="CM14">
        <f>VLOOKUP(Sales[[#This Row],[TNbhd]],Lookups!$M$2:$P$4,4,FALSE)</f>
        <v>0.97570000000000001</v>
      </c>
      <c r="CN14">
        <f>VLOOKUP(Sales[[#This Row],[Qlty]],Lookups!$M$6:$P$20,4,FALSE)</f>
        <v>0.98809999999999998</v>
      </c>
      <c r="CO14">
        <f>VLOOKUP(Sales[[#This Row],[Cnd]],Lookups!$R$6:$U$15,4,FALSE)</f>
        <v>0.98370000000000002</v>
      </c>
      <c r="CP14">
        <f>VLOOKUP(Sales[[#This Row],[LivArea Range]],Lookups!$R$23:$U$39,4,FALSE)</f>
        <v>0.93310000000000004</v>
      </c>
      <c r="CQ14">
        <f>VLOOKUP(Sales[[#This Row],[Decade]],Lookups!$M$23:$P$35,4,FALSE)</f>
        <v>0.99060000000000004</v>
      </c>
      <c r="CR14">
        <f>Sales[[#This Row],[Nbhd Adj]]*0.95</f>
        <v>0.92691499999999993</v>
      </c>
      <c r="CS14">
        <f>Sales[[#This Row],[Nbhd Adj]]*Sales[[#This Row],[Quality Adj]]*Sales[[#This Row],[Condition Adj]]*Sales[[#This Row],[Living Area Adj]]*Sales[[#This Row],[Decade Adj]]*0.95</f>
        <v>0.83277943893048667</v>
      </c>
      <c r="CT14">
        <f>ROUND(SUM(Sales[[#This Row],[Mdl Qlty]:[Mdl GarageArea]])+Sales[[#This Row],[Mdl Res Intercept]]*Sales[[#This Row],[Res Adj ]],-2)</f>
        <v>525000</v>
      </c>
      <c r="CU14">
        <f>ROUND(Sales[[#This Row],[25Det]]*Sales[[#This Row],[Det/Nbhd Adj]],-2)</f>
        <v>0</v>
      </c>
      <c r="CV14">
        <f>Sales[[#This Row],[Adjusted Res]]+Sales[[#This Row],[Adj Det ]]</f>
        <v>525000</v>
      </c>
      <c r="CW14">
        <f>ROUND((Sales[[#This Row],[Mdl Land Intercept]]+Sales[[#This Row],[Mdl LnAcres]])*Sales[[#This Row],[Det/Nbhd Adj]],-2)</f>
        <v>54400</v>
      </c>
      <c r="CX14">
        <f>Sales[[#This Row],[Adjusted Impr Total]]+Sales[[#This Row],[Adjusted Land Total]]</f>
        <v>579400</v>
      </c>
      <c r="CY14">
        <f>IFERROR((Sales[[#This Row],[Adjusted Impr Total]]-Sales[[#This Row],[24Bldg]])/Sales[[#This Row],[24Bldg]],0)</f>
        <v>0.19671757465238204</v>
      </c>
      <c r="CZ14">
        <f>(Sales[[#This Row],[Adjusted Land Total]]-Sales[[#This Row],[24Lnd]])/Sales[[#This Row],[24Lnd]]</f>
        <v>-0.43215031315240082</v>
      </c>
      <c r="DA14">
        <f>(Sales[[#This Row],[Adjusted Total]]-Sales[[#This Row],[24Final]])/Sales[[#This Row],[24Final]]</f>
        <v>8.4003741814780167E-2</v>
      </c>
      <c r="DB14">
        <f>(Sales[[#This Row],[Adjusted Total]]+Sales[[#This Row],[Days Prior Total]])/Sales[[#This Row],[Price]]</f>
        <v>0.86677173641165761</v>
      </c>
    </row>
    <row r="15" spans="1:106" x14ac:dyDescent="0.3">
      <c r="A15">
        <v>2025</v>
      </c>
      <c r="B15" s="1">
        <v>18131741424</v>
      </c>
      <c r="C15">
        <v>-0.52763274208237199</v>
      </c>
      <c r="D15">
        <v>0.59</v>
      </c>
      <c r="E15">
        <v>25560</v>
      </c>
      <c r="F15">
        <v>1</v>
      </c>
      <c r="G15" t="s">
        <v>89</v>
      </c>
      <c r="H15" t="s">
        <v>203</v>
      </c>
      <c r="I15" t="s">
        <v>302</v>
      </c>
      <c r="J15" t="s">
        <v>110</v>
      </c>
      <c r="K15">
        <v>11</v>
      </c>
      <c r="L15">
        <v>259</v>
      </c>
      <c r="M15" t="s">
        <v>313</v>
      </c>
      <c r="N15" t="s">
        <v>274</v>
      </c>
      <c r="O15" t="s">
        <v>76</v>
      </c>
      <c r="P15">
        <v>2006</v>
      </c>
      <c r="Q15">
        <v>2006</v>
      </c>
      <c r="R15">
        <v>10</v>
      </c>
      <c r="S15">
        <v>18</v>
      </c>
      <c r="T15">
        <v>18</v>
      </c>
      <c r="U15">
        <v>1</v>
      </c>
      <c r="V15">
        <v>3572</v>
      </c>
      <c r="W15">
        <v>0</v>
      </c>
      <c r="X15">
        <v>0</v>
      </c>
      <c r="Y15">
        <v>2598</v>
      </c>
      <c r="Z15">
        <v>2430</v>
      </c>
      <c r="AA15">
        <v>168</v>
      </c>
      <c r="AB15">
        <v>6002</v>
      </c>
      <c r="AC15">
        <v>6500</v>
      </c>
      <c r="AD15">
        <v>3</v>
      </c>
      <c r="AF15" t="s">
        <v>275</v>
      </c>
      <c r="AG15" t="s">
        <v>111</v>
      </c>
      <c r="AH15" t="s">
        <v>314</v>
      </c>
      <c r="AI15">
        <v>0</v>
      </c>
      <c r="AJ15">
        <v>0</v>
      </c>
      <c r="AK15">
        <v>1</v>
      </c>
      <c r="AL15">
        <v>3</v>
      </c>
      <c r="AM15">
        <v>1</v>
      </c>
      <c r="AN15">
        <v>24</v>
      </c>
      <c r="AO15">
        <v>766</v>
      </c>
      <c r="AP15">
        <v>0</v>
      </c>
      <c r="AQ15">
        <v>766</v>
      </c>
      <c r="AR15">
        <v>0</v>
      </c>
      <c r="AS15">
        <v>528</v>
      </c>
      <c r="AT15">
        <v>0</v>
      </c>
      <c r="AU15">
        <v>176</v>
      </c>
      <c r="AV15">
        <v>100</v>
      </c>
      <c r="AW15">
        <v>100</v>
      </c>
      <c r="AX15">
        <v>1422231</v>
      </c>
      <c r="AY15">
        <v>1379564</v>
      </c>
      <c r="AZ15">
        <v>559</v>
      </c>
      <c r="BA15">
        <v>365</v>
      </c>
      <c r="BB15">
        <v>194</v>
      </c>
      <c r="BC15">
        <v>0</v>
      </c>
      <c r="BD15" s="6">
        <v>44733</v>
      </c>
      <c r="BE15" t="s">
        <v>13</v>
      </c>
      <c r="BF15">
        <v>1522500</v>
      </c>
      <c r="BG15">
        <v>1442350</v>
      </c>
      <c r="BH15" t="s">
        <v>198</v>
      </c>
      <c r="BI15">
        <v>30</v>
      </c>
      <c r="BJ15" t="s">
        <v>51</v>
      </c>
      <c r="BK15" t="s">
        <v>314</v>
      </c>
      <c r="BL15">
        <v>1414100</v>
      </c>
      <c r="BM15">
        <v>130000</v>
      </c>
      <c r="BN15">
        <v>1284100</v>
      </c>
      <c r="BO15">
        <v>80150</v>
      </c>
      <c r="BP15">
        <v>0.92880131362889984</v>
      </c>
      <c r="BQ15">
        <v>1147920.842472207</v>
      </c>
      <c r="BR15">
        <v>1187191.9169748274</v>
      </c>
      <c r="BS15" s="7">
        <f t="shared" si="0"/>
        <v>-0.16046112935801754</v>
      </c>
      <c r="BT15" s="14">
        <f>(Sales[[#This Row],[DP1]]*Lookups!$B$51)+(Sales[[#This Row],[DP2]]*Lookups!$B$52)+(Sales[[#This Row],[DP3]]*Lookups!$B$53)</f>
        <v>-30841.59</v>
      </c>
      <c r="BU15" s="14">
        <f>Lookups!$B$48*0.5</f>
        <v>87214.824999999997</v>
      </c>
      <c r="BV15" s="14">
        <f>Lookups!$B$48*0.5</f>
        <v>87214.824999999997</v>
      </c>
      <c r="BW15" s="14">
        <f>Lookups!$B$49*Sales[[#This Row],[LnAcres]]</f>
        <v>-115257.49021870131</v>
      </c>
      <c r="BX15" s="14">
        <f>VLOOKUP(Sales[[#This Row],[Qlty]],Lookups!$A$54:$E$67,2,FALSE)</f>
        <v>46722.525125</v>
      </c>
      <c r="BY15" s="14">
        <f>VLOOKUP(Sales[[#This Row],[Cnd]],Lookups!$A$68:$E$76,2,FALSE)</f>
        <v>133581.64413</v>
      </c>
      <c r="BZ15" s="14">
        <f>Sales[[#This Row],[Age]]*Lookups!$B$77</f>
        <v>922.56214999999997</v>
      </c>
      <c r="CA15" s="14">
        <f>Sales[[#This Row],[MainFn]]*Lookups!$B$78</f>
        <v>136301.66460700001</v>
      </c>
      <c r="CB15" s="14">
        <f>Sales[[#This Row],[UpprFn]]*Lookups!$B$79</f>
        <v>0</v>
      </c>
      <c r="CC15" s="14">
        <f>Sales[[#This Row],[AddFn]]*Lookups!$B$80</f>
        <v>0</v>
      </c>
      <c r="CD15" s="14">
        <f>Sales[[#This Row],[Bsmt]]*Lookups!$B$81</f>
        <v>0</v>
      </c>
      <c r="CE15" s="14">
        <f>Sales[[#This Row],[Fixtures]]*Lookups!$B$84</f>
        <v>101551</v>
      </c>
      <c r="CF15" s="14">
        <f>SUM(Sales[[#This Row],[Days Prior Total]:[Mdl Fixtures]])</f>
        <v>447409.96579329873</v>
      </c>
      <c r="CG15" s="14">
        <f>ROUND(Sales[[#This Row],[25Det]],-2)</f>
        <v>0</v>
      </c>
      <c r="CH15" s="14">
        <f>ROUND(SUM(Sales[[#This Row],[Mdl LnAcres]:[Mdl Fixtures]])+Sales[[#This Row],[Mdl Res Intercept]]+Sales[[#This Row],[Days Prior Total]],-2)</f>
        <v>360200</v>
      </c>
      <c r="CI15" s="14">
        <f>ROUND(Sales[[#This Row],[Mdl Land Intercept]]+Sales[[#This Row],[Mdl LnAcres]],-2)</f>
        <v>-28000</v>
      </c>
      <c r="CJ15" s="14">
        <f>Sales[[#This Row],[Unadj Res Value]]+Sales[[#This Row],[Unadj Det Value]]+Sales[[#This Row],[Unadj Land Value]]</f>
        <v>517400</v>
      </c>
      <c r="CK15" s="15">
        <f>Sales[[#This Row],[Unadj Total Value]]/Sales[[#This Row],[Price]]</f>
        <v>0.79722650231124803</v>
      </c>
      <c r="CL15" s="15">
        <f>(Sales[[#This Row],[Unadj Total Value]]-Sales[[#This Row],[24Final]])/Sales[[#This Row],[24Final]]</f>
        <v>2.1923760616235435E-2</v>
      </c>
      <c r="CM15">
        <f>VLOOKUP(Sales[[#This Row],[TNbhd]],Lookups!$M$2:$P$4,4,FALSE)</f>
        <v>0.97570000000000001</v>
      </c>
      <c r="CN15">
        <f>VLOOKUP(Sales[[#This Row],[Qlty]],Lookups!$M$6:$P$20,4,FALSE)</f>
        <v>0.98329999999999995</v>
      </c>
      <c r="CO15">
        <f>VLOOKUP(Sales[[#This Row],[Cnd]],Lookups!$R$6:$U$15,4,FALSE)</f>
        <v>0.98370000000000002</v>
      </c>
      <c r="CP15">
        <f>VLOOKUP(Sales[[#This Row],[LivArea Range]],Lookups!$R$23:$U$39,4,FALSE)</f>
        <v>0.99099999999999999</v>
      </c>
      <c r="CQ15">
        <f>VLOOKUP(Sales[[#This Row],[Decade]],Lookups!$M$23:$P$35,4,FALSE)</f>
        <v>0.99060000000000004</v>
      </c>
      <c r="CR15">
        <f>Sales[[#This Row],[Nbhd Adj]]*0.95</f>
        <v>0.92691499999999993</v>
      </c>
      <c r="CS15">
        <f>Sales[[#This Row],[Nbhd Adj]]*Sales[[#This Row],[Quality Adj]]*Sales[[#This Row],[Condition Adj]]*Sales[[#This Row],[Living Area Adj]]*Sales[[#This Row],[Decade Adj]]*0.95</f>
        <v>0.88015791530795529</v>
      </c>
      <c r="CT15">
        <f>ROUND(SUM(Sales[[#This Row],[Mdl Qlty]:[Mdl GarageArea]])+Sales[[#This Row],[Mdl Res Intercept]]*Sales[[#This Row],[Res Adj ]],-2)</f>
        <v>565800</v>
      </c>
      <c r="CU15">
        <f>ROUND(Sales[[#This Row],[25Det]]*Sales[[#This Row],[Det/Nbhd Adj]],-2)</f>
        <v>0</v>
      </c>
      <c r="CV15">
        <f>Sales[[#This Row],[Adjusted Res]]+Sales[[#This Row],[Adj Det ]]</f>
        <v>565800</v>
      </c>
      <c r="CW15">
        <f>ROUND((Sales[[#This Row],[Mdl Land Intercept]]+Sales[[#This Row],[Mdl LnAcres]])*Sales[[#This Row],[Det/Nbhd Adj]],-2)</f>
        <v>-26000</v>
      </c>
      <c r="CX15">
        <f>Sales[[#This Row],[Adjusted Impr Total]]+Sales[[#This Row],[Adjusted Land Total]]</f>
        <v>539800</v>
      </c>
      <c r="CY15">
        <f>IFERROR((Sales[[#This Row],[Adjusted Impr Total]]-Sales[[#This Row],[24Bldg]])/Sales[[#This Row],[24Bldg]],0)</f>
        <v>0.23672131147540984</v>
      </c>
      <c r="CZ15">
        <f>(Sales[[#This Row],[Adjusted Land Total]]-Sales[[#This Row],[24Lnd]])/Sales[[#This Row],[24Lnd]]</f>
        <v>-1.5327868852459017</v>
      </c>
      <c r="DA15">
        <f>(Sales[[#This Row],[Adjusted Total]]-Sales[[#This Row],[24Final]])/Sales[[#This Row],[24Final]]</f>
        <v>6.6166304562512351E-2</v>
      </c>
      <c r="DB15">
        <f>(Sales[[#This Row],[Adjusted Total]]+Sales[[#This Row],[Days Prior Total]])/Sales[[#This Row],[Price]]</f>
        <v>0.78421942989214166</v>
      </c>
    </row>
    <row r="16" spans="1:106" x14ac:dyDescent="0.3">
      <c r="A16">
        <v>2025</v>
      </c>
      <c r="B16" s="1">
        <v>18131814407</v>
      </c>
      <c r="C16">
        <v>1.4951487660319727</v>
      </c>
      <c r="D16">
        <v>4.46</v>
      </c>
      <c r="E16">
        <v>194273</v>
      </c>
      <c r="F16">
        <v>1</v>
      </c>
      <c r="G16" t="s">
        <v>89</v>
      </c>
      <c r="H16" t="s">
        <v>203</v>
      </c>
      <c r="I16" t="s">
        <v>302</v>
      </c>
      <c r="J16" t="s">
        <v>27</v>
      </c>
      <c r="K16">
        <v>11</v>
      </c>
      <c r="L16">
        <v>331</v>
      </c>
      <c r="M16" t="s">
        <v>313</v>
      </c>
      <c r="N16" t="s">
        <v>206</v>
      </c>
      <c r="O16" t="s">
        <v>76</v>
      </c>
      <c r="P16">
        <v>2016</v>
      </c>
      <c r="Q16">
        <v>2016</v>
      </c>
      <c r="R16">
        <v>0</v>
      </c>
      <c r="S16">
        <v>8</v>
      </c>
      <c r="T16">
        <v>8</v>
      </c>
      <c r="U16">
        <v>2</v>
      </c>
      <c r="V16">
        <v>3160</v>
      </c>
      <c r="W16">
        <v>435</v>
      </c>
      <c r="X16">
        <v>626</v>
      </c>
      <c r="Y16">
        <v>0</v>
      </c>
      <c r="Z16">
        <v>0</v>
      </c>
      <c r="AA16">
        <v>0</v>
      </c>
      <c r="AB16">
        <v>4221</v>
      </c>
      <c r="AC16">
        <v>4500</v>
      </c>
      <c r="AD16">
        <v>3</v>
      </c>
      <c r="AE16" t="s">
        <v>132</v>
      </c>
      <c r="AF16" t="s">
        <v>153</v>
      </c>
      <c r="AG16" t="s">
        <v>111</v>
      </c>
      <c r="AI16">
        <v>0</v>
      </c>
      <c r="AJ16">
        <v>0</v>
      </c>
      <c r="AK16">
        <v>1</v>
      </c>
      <c r="AL16">
        <v>0</v>
      </c>
      <c r="AM16">
        <v>1</v>
      </c>
      <c r="AN16">
        <v>19</v>
      </c>
      <c r="AO16">
        <v>1094</v>
      </c>
      <c r="AP16">
        <v>0</v>
      </c>
      <c r="AQ16">
        <v>1094</v>
      </c>
      <c r="AR16">
        <v>0</v>
      </c>
      <c r="AS16">
        <v>0</v>
      </c>
      <c r="AT16">
        <v>0</v>
      </c>
      <c r="AU16">
        <v>0</v>
      </c>
      <c r="AV16">
        <v>100</v>
      </c>
      <c r="AW16">
        <v>100</v>
      </c>
      <c r="AX16">
        <v>1144635</v>
      </c>
      <c r="AY16">
        <v>1121742</v>
      </c>
      <c r="AZ16">
        <v>572</v>
      </c>
      <c r="BA16">
        <v>365</v>
      </c>
      <c r="BB16">
        <v>207</v>
      </c>
      <c r="BC16">
        <v>0</v>
      </c>
      <c r="BD16" s="6">
        <v>44720</v>
      </c>
      <c r="BE16" t="s">
        <v>246</v>
      </c>
      <c r="BF16">
        <v>1650000</v>
      </c>
      <c r="BG16">
        <v>1554340</v>
      </c>
      <c r="BH16" t="s">
        <v>198</v>
      </c>
      <c r="BI16">
        <v>30</v>
      </c>
      <c r="BJ16" t="s">
        <v>51</v>
      </c>
      <c r="BK16" t="s">
        <v>314</v>
      </c>
      <c r="BL16">
        <v>1546000</v>
      </c>
      <c r="BM16">
        <v>240000</v>
      </c>
      <c r="BN16">
        <v>1306000</v>
      </c>
      <c r="BO16">
        <v>95660</v>
      </c>
      <c r="BP16">
        <v>0.93696969696969701</v>
      </c>
      <c r="BQ16">
        <v>1244519.5458504618</v>
      </c>
      <c r="BR16">
        <v>1282553.7412572922</v>
      </c>
      <c r="BS16" s="7">
        <f t="shared" si="0"/>
        <v>-0.17040508327471396</v>
      </c>
      <c r="BT16" s="14">
        <f>(Sales[[#This Row],[DP1]]*Lookups!$B$51)+(Sales[[#This Row],[DP2]]*Lookups!$B$52)+(Sales[[#This Row],[DP3]]*Lookups!$B$53)</f>
        <v>-34038.138046000007</v>
      </c>
      <c r="BU16" s="14">
        <f>Lookups!$B$48*0.5</f>
        <v>87214.824999999997</v>
      </c>
      <c r="BV16" s="14">
        <f>Lookups!$B$48*0.5</f>
        <v>87214.824999999997</v>
      </c>
      <c r="BW16" s="14">
        <f>Lookups!$B$49*Sales[[#This Row],[LnAcres]]</f>
        <v>-37895.355716587197</v>
      </c>
      <c r="BX16" s="14">
        <f>VLOOKUP(Sales[[#This Row],[Qlty]],Lookups!$A$54:$E$67,2,FALSE)</f>
        <v>46722.525125</v>
      </c>
      <c r="BY16" s="14">
        <f>VLOOKUP(Sales[[#This Row],[Cnd]],Lookups!$A$68:$E$76,2,FALSE)</f>
        <v>133581.64413</v>
      </c>
      <c r="BZ16" s="14">
        <f>Sales[[#This Row],[Age]]*Lookups!$B$77</f>
        <v>922.56214999999997</v>
      </c>
      <c r="CA16" s="14">
        <f>Sales[[#This Row],[MainFn]]*Lookups!$B$78</f>
        <v>176853.65504000001</v>
      </c>
      <c r="CB16" s="14">
        <f>Sales[[#This Row],[UpprFn]]*Lookups!$B$79</f>
        <v>0</v>
      </c>
      <c r="CC16" s="14">
        <f>Sales[[#This Row],[AddFn]]*Lookups!$B$80</f>
        <v>0</v>
      </c>
      <c r="CD16" s="14">
        <f>Sales[[#This Row],[Bsmt]]*Lookups!$B$81</f>
        <v>0</v>
      </c>
      <c r="CE16" s="14">
        <f>Sales[[#This Row],[Fixtures]]*Lookups!$B$84</f>
        <v>142171.4</v>
      </c>
      <c r="CF16" s="14">
        <f>SUM(Sales[[#This Row],[Days Prior Total]:[Mdl Fixtures]])</f>
        <v>602747.9426824128</v>
      </c>
      <c r="CG16" s="14">
        <f>ROUND(Sales[[#This Row],[25Det]],-2)</f>
        <v>0</v>
      </c>
      <c r="CH16" s="14">
        <f>ROUND(SUM(Sales[[#This Row],[Mdl LnAcres]:[Mdl Fixtures]])+Sales[[#This Row],[Mdl Res Intercept]]+Sales[[#This Row],[Days Prior Total]],-2)</f>
        <v>515500</v>
      </c>
      <c r="CI16" s="14">
        <f>ROUND(Sales[[#This Row],[Mdl Land Intercept]]+Sales[[#This Row],[Mdl LnAcres]],-2)</f>
        <v>49300</v>
      </c>
      <c r="CJ16" s="14">
        <f>Sales[[#This Row],[Unadj Res Value]]+Sales[[#This Row],[Unadj Det Value]]+Sales[[#This Row],[Unadj Land Value]]</f>
        <v>690400</v>
      </c>
      <c r="CK16" s="15">
        <f>Sales[[#This Row],[Unadj Total Value]]/Sales[[#This Row],[Price]]</f>
        <v>1.1373970345963755</v>
      </c>
      <c r="CL16" s="15">
        <f>(Sales[[#This Row],[Unadj Total Value]]-Sales[[#This Row],[24Final]])/Sales[[#This Row],[24Final]]</f>
        <v>0.16366087982470925</v>
      </c>
      <c r="CM16">
        <f>VLOOKUP(Sales[[#This Row],[TNbhd]],Lookups!$M$2:$P$4,4,FALSE)</f>
        <v>0.97570000000000001</v>
      </c>
      <c r="CN16">
        <f>VLOOKUP(Sales[[#This Row],[Qlty]],Lookups!$M$6:$P$20,4,FALSE)</f>
        <v>0.98329999999999995</v>
      </c>
      <c r="CO16">
        <f>VLOOKUP(Sales[[#This Row],[Cnd]],Lookups!$R$6:$U$15,4,FALSE)</f>
        <v>0.98370000000000002</v>
      </c>
      <c r="CP16">
        <f>VLOOKUP(Sales[[#This Row],[LivArea Range]],Lookups!$R$23:$U$39,4,FALSE)</f>
        <v>0.93310000000000004</v>
      </c>
      <c r="CQ16">
        <f>VLOOKUP(Sales[[#This Row],[Decade]],Lookups!$M$23:$P$35,4,FALSE)</f>
        <v>0.99060000000000004</v>
      </c>
      <c r="CR16">
        <f>Sales[[#This Row],[Nbhd Adj]]*0.95</f>
        <v>0.92691499999999993</v>
      </c>
      <c r="CS16">
        <f>Sales[[#This Row],[Nbhd Adj]]*Sales[[#This Row],[Quality Adj]]*Sales[[#This Row],[Condition Adj]]*Sales[[#This Row],[Living Area Adj]]*Sales[[#This Row],[Decade Adj]]*0.95</f>
        <v>0.82873395638128478</v>
      </c>
      <c r="CT16">
        <f>ROUND(SUM(Sales[[#This Row],[Mdl Qlty]:[Mdl GarageArea]])+Sales[[#This Row],[Mdl Res Intercept]]*Sales[[#This Row],[Res Adj ]],-2)</f>
        <v>660200</v>
      </c>
      <c r="CU16">
        <f>ROUND(Sales[[#This Row],[25Det]]*Sales[[#This Row],[Det/Nbhd Adj]],-2)</f>
        <v>0</v>
      </c>
      <c r="CV16">
        <f>Sales[[#This Row],[Adjusted Res]]+Sales[[#This Row],[Adj Det ]]</f>
        <v>660200</v>
      </c>
      <c r="CW16">
        <f>ROUND((Sales[[#This Row],[Mdl Land Intercept]]+Sales[[#This Row],[Mdl LnAcres]])*Sales[[#This Row],[Det/Nbhd Adj]],-2)</f>
        <v>45700</v>
      </c>
      <c r="CX16">
        <f>Sales[[#This Row],[Adjusted Impr Total]]+Sales[[#This Row],[Adjusted Land Total]]</f>
        <v>705900</v>
      </c>
      <c r="CY16">
        <f>IFERROR((Sales[[#This Row],[Adjusted Impr Total]]-Sales[[#This Row],[24Bldg]])/Sales[[#This Row],[24Bldg]],0)</f>
        <v>0.27255204317656129</v>
      </c>
      <c r="CZ16">
        <f>(Sales[[#This Row],[Adjusted Land Total]]-Sales[[#This Row],[24Lnd]])/Sales[[#This Row],[24Lnd]]</f>
        <v>-0.38657718120805368</v>
      </c>
      <c r="DA16">
        <f>(Sales[[#This Row],[Adjusted Total]]-Sales[[#This Row],[24Final]])/Sales[[#This Row],[24Final]]</f>
        <v>0.18978594303050733</v>
      </c>
      <c r="DB16">
        <f>(Sales[[#This Row],[Adjusted Total]]+Sales[[#This Row],[Days Prior Total]])/Sales[[#This Row],[Price]]</f>
        <v>1.1068564447347611</v>
      </c>
    </row>
    <row r="17" spans="1:106" x14ac:dyDescent="0.3">
      <c r="A17">
        <v>2025</v>
      </c>
      <c r="B17" s="1">
        <v>18131734452</v>
      </c>
      <c r="C17">
        <v>-1.0498221244986778</v>
      </c>
      <c r="D17">
        <v>0.35</v>
      </c>
      <c r="E17">
        <v>15317</v>
      </c>
      <c r="F17">
        <v>1</v>
      </c>
      <c r="G17" t="s">
        <v>89</v>
      </c>
      <c r="H17">
        <v>3041</v>
      </c>
      <c r="I17" t="s">
        <v>302</v>
      </c>
      <c r="J17" t="s">
        <v>110</v>
      </c>
      <c r="K17">
        <v>11</v>
      </c>
      <c r="L17">
        <v>259</v>
      </c>
      <c r="M17" t="s">
        <v>313</v>
      </c>
      <c r="N17" t="s">
        <v>50</v>
      </c>
      <c r="O17" t="s">
        <v>76</v>
      </c>
      <c r="P17">
        <v>2016</v>
      </c>
      <c r="Q17">
        <v>2016</v>
      </c>
      <c r="R17">
        <v>0</v>
      </c>
      <c r="S17">
        <v>8</v>
      </c>
      <c r="T17">
        <v>8</v>
      </c>
      <c r="U17">
        <v>1</v>
      </c>
      <c r="V17">
        <v>2300</v>
      </c>
      <c r="W17">
        <v>0</v>
      </c>
      <c r="X17">
        <v>0</v>
      </c>
      <c r="Y17">
        <v>1496</v>
      </c>
      <c r="Z17">
        <v>1496</v>
      </c>
      <c r="AA17">
        <v>0</v>
      </c>
      <c r="AB17">
        <v>3796</v>
      </c>
      <c r="AC17">
        <v>4000</v>
      </c>
      <c r="AD17">
        <v>3</v>
      </c>
      <c r="AE17" t="s">
        <v>132</v>
      </c>
      <c r="AF17" t="s">
        <v>153</v>
      </c>
      <c r="AG17" t="s">
        <v>274</v>
      </c>
      <c r="AI17">
        <v>0</v>
      </c>
      <c r="AJ17">
        <v>0</v>
      </c>
      <c r="AK17">
        <v>1</v>
      </c>
      <c r="AL17">
        <v>0</v>
      </c>
      <c r="AM17">
        <v>0</v>
      </c>
      <c r="AN17">
        <v>15</v>
      </c>
      <c r="AO17">
        <v>1060</v>
      </c>
      <c r="AP17">
        <v>0</v>
      </c>
      <c r="AQ17">
        <v>1060</v>
      </c>
      <c r="AR17">
        <v>0</v>
      </c>
      <c r="AS17">
        <v>185</v>
      </c>
      <c r="AT17">
        <v>196</v>
      </c>
      <c r="AU17">
        <v>185</v>
      </c>
      <c r="AV17">
        <v>100</v>
      </c>
      <c r="AW17">
        <v>100</v>
      </c>
      <c r="AX17">
        <v>732418</v>
      </c>
      <c r="AY17">
        <v>717770</v>
      </c>
      <c r="AZ17">
        <v>794</v>
      </c>
      <c r="BA17">
        <v>365</v>
      </c>
      <c r="BB17">
        <v>365</v>
      </c>
      <c r="BC17">
        <v>64</v>
      </c>
      <c r="BD17" s="6">
        <v>44498</v>
      </c>
      <c r="BE17" t="s">
        <v>165</v>
      </c>
      <c r="BF17">
        <v>1200000</v>
      </c>
      <c r="BG17">
        <v>1200000</v>
      </c>
      <c r="BH17" t="s">
        <v>198</v>
      </c>
      <c r="BI17">
        <v>30</v>
      </c>
      <c r="BJ17" t="s">
        <v>51</v>
      </c>
      <c r="BK17" t="s">
        <v>314</v>
      </c>
      <c r="BL17">
        <v>620700</v>
      </c>
      <c r="BM17">
        <v>100900</v>
      </c>
      <c r="BN17">
        <v>519800</v>
      </c>
      <c r="BO17">
        <v>0</v>
      </c>
      <c r="BP17">
        <v>0.51724999999999999</v>
      </c>
      <c r="BQ17">
        <v>737011.49508698145</v>
      </c>
      <c r="BR17">
        <v>779762.35933892266</v>
      </c>
      <c r="BS17" s="7">
        <f t="shared" si="0"/>
        <v>0.25626286344276245</v>
      </c>
      <c r="BT17" s="14">
        <f>(Sales[[#This Row],[DP1]]*Lookups!$B$51)+(Sales[[#This Row],[DP2]]*Lookups!$B$52)+(Sales[[#This Row],[DP3]]*Lookups!$B$53)</f>
        <v>-67746.340710000004</v>
      </c>
      <c r="BU17" s="14">
        <f>Lookups!$B$48*0.5</f>
        <v>87214.824999999997</v>
      </c>
      <c r="BV17" s="14">
        <f>Lookups!$B$48*0.5</f>
        <v>87214.824999999997</v>
      </c>
      <c r="BW17" s="14">
        <f>Lookups!$B$49*Sales[[#This Row],[LnAcres]]</f>
        <v>-16852.363784024325</v>
      </c>
      <c r="BX17" s="14">
        <f>VLOOKUP(Sales[[#This Row],[Qlty]],Lookups!$A$54:$E$67,2,FALSE)</f>
        <v>519241.74659</v>
      </c>
      <c r="BY17" s="14">
        <f>VLOOKUP(Sales[[#This Row],[Cnd]],Lookups!$A$68:$E$76,2,FALSE)</f>
        <v>133581.64413</v>
      </c>
      <c r="BZ17" s="14">
        <f>Sales[[#This Row],[Age]]*Lookups!$B$77</f>
        <v>922.56214999999997</v>
      </c>
      <c r="CA17" s="14">
        <f>Sales[[#This Row],[MainFn]]*Lookups!$B$78</f>
        <v>163175.13015800001</v>
      </c>
      <c r="CB17" s="14">
        <f>Sales[[#This Row],[UpprFn]]*Lookups!$B$79</f>
        <v>84067.056450000004</v>
      </c>
      <c r="CC17" s="14">
        <f>Sales[[#This Row],[AddFn]]*Lookups!$B$80</f>
        <v>0</v>
      </c>
      <c r="CD17" s="14">
        <f>Sales[[#This Row],[Bsmt]]*Lookups!$B$81</f>
        <v>0</v>
      </c>
      <c r="CE17" s="14">
        <f>Sales[[#This Row],[Fixtures]]*Lookups!$B$84</f>
        <v>213257.1</v>
      </c>
      <c r="CF17" s="14">
        <f>SUM(Sales[[#This Row],[Days Prior Total]:[Mdl Fixtures]])</f>
        <v>1204076.1849839757</v>
      </c>
      <c r="CG17" s="14">
        <f>ROUND(Sales[[#This Row],[25Det]],-2)</f>
        <v>0</v>
      </c>
      <c r="CH17" s="14">
        <f>ROUND(SUM(Sales[[#This Row],[Mdl LnAcres]:[Mdl Fixtures]])+Sales[[#This Row],[Mdl Res Intercept]]+Sales[[#This Row],[Days Prior Total]],-2)</f>
        <v>1116900</v>
      </c>
      <c r="CI17" s="14">
        <f>ROUND(Sales[[#This Row],[Mdl Land Intercept]]+Sales[[#This Row],[Mdl LnAcres]],-2)</f>
        <v>70400</v>
      </c>
      <c r="CJ17" s="14">
        <f>Sales[[#This Row],[Unadj Res Value]]+Sales[[#This Row],[Unadj Det Value]]+Sales[[#This Row],[Unadj Land Value]]</f>
        <v>1292400</v>
      </c>
      <c r="CK17" s="15">
        <f>Sales[[#This Row],[Unadj Total Value]]/Sales[[#This Row],[Price]]</f>
        <v>0.92314285714285715</v>
      </c>
      <c r="CL17" s="15">
        <f>(Sales[[#This Row],[Unadj Total Value]]-Sales[[#This Row],[24Final]])/Sales[[#This Row],[24Final]]</f>
        <v>-9.9623798244391812E-2</v>
      </c>
      <c r="CM17">
        <f>VLOOKUP(Sales[[#This Row],[TNbhd]],Lookups!$M$2:$P$4,4,FALSE)</f>
        <v>0.97570000000000001</v>
      </c>
      <c r="CN17">
        <f>VLOOKUP(Sales[[#This Row],[Qlty]],Lookups!$M$6:$P$20,4,FALSE)</f>
        <v>0.99960000000000004</v>
      </c>
      <c r="CO17">
        <f>VLOOKUP(Sales[[#This Row],[Cnd]],Lookups!$R$6:$U$15,4,FALSE)</f>
        <v>0.98370000000000002</v>
      </c>
      <c r="CP17">
        <f>VLOOKUP(Sales[[#This Row],[LivArea Range]],Lookups!$R$23:$U$39,4,FALSE)</f>
        <v>1.034</v>
      </c>
      <c r="CQ17">
        <f>VLOOKUP(Sales[[#This Row],[Decade]],Lookups!$M$23:$P$35,4,FALSE)</f>
        <v>0.99060000000000004</v>
      </c>
      <c r="CR17">
        <f>Sales[[#This Row],[Nbhd Adj]]*0.95</f>
        <v>0.92691499999999993</v>
      </c>
      <c r="CS17">
        <f>Sales[[#This Row],[Nbhd Adj]]*Sales[[#This Row],[Quality Adj]]*Sales[[#This Row],[Condition Adj]]*Sales[[#This Row],[Living Area Adj]]*Sales[[#This Row],[Decade Adj]]*0.95</f>
        <v>0.93357172871172045</v>
      </c>
      <c r="CT17">
        <f>ROUND(SUM(Sales[[#This Row],[Mdl Qlty]:[Mdl GarageArea]])+Sales[[#This Row],[Mdl Res Intercept]]*Sales[[#This Row],[Res Adj ]],-2)</f>
        <v>1284000</v>
      </c>
      <c r="CU17">
        <f>ROUND(Sales[[#This Row],[25Det]]*Sales[[#This Row],[Det/Nbhd Adj]],-2)</f>
        <v>0</v>
      </c>
      <c r="CV17">
        <f>Sales[[#This Row],[Adjusted Res]]+Sales[[#This Row],[Adj Det ]]</f>
        <v>1284000</v>
      </c>
      <c r="CW17">
        <f>ROUND((Sales[[#This Row],[Mdl Land Intercept]]+Sales[[#This Row],[Mdl LnAcres]])*Sales[[#This Row],[Det/Nbhd Adj]],-2)</f>
        <v>65200</v>
      </c>
      <c r="CX17">
        <f>Sales[[#This Row],[Adjusted Impr Total]]+Sales[[#This Row],[Adjusted Land Total]]</f>
        <v>1349200</v>
      </c>
      <c r="CY17">
        <f>IFERROR((Sales[[#This Row],[Adjusted Impr Total]]-Sales[[#This Row],[24Bldg]])/Sales[[#This Row],[24Bldg]],0)</f>
        <v>-2.3871065835487305E-2</v>
      </c>
      <c r="CZ17">
        <f>(Sales[[#This Row],[Adjusted Land Total]]-Sales[[#This Row],[24Lnd]])/Sales[[#This Row],[24Lnd]]</f>
        <v>-0.45666666666666667</v>
      </c>
      <c r="DA17">
        <f>(Sales[[#This Row],[Adjusted Total]]-Sales[[#This Row],[24Final]])/Sales[[#This Row],[24Final]]</f>
        <v>-6.0052946913752264E-2</v>
      </c>
      <c r="DB17">
        <f>(Sales[[#This Row],[Adjusted Total]]+Sales[[#This Row],[Days Prior Total]])/Sales[[#This Row],[Price]]</f>
        <v>0.91532404235000009</v>
      </c>
    </row>
    <row r="18" spans="1:106" x14ac:dyDescent="0.3">
      <c r="A18">
        <v>2025</v>
      </c>
      <c r="B18" s="1">
        <v>18131531491</v>
      </c>
      <c r="C18">
        <v>-3.912023005428146</v>
      </c>
      <c r="D18">
        <v>0.02</v>
      </c>
      <c r="E18">
        <v>9520</v>
      </c>
      <c r="F18">
        <v>5</v>
      </c>
      <c r="G18" t="s">
        <v>89</v>
      </c>
      <c r="H18">
        <v>3041</v>
      </c>
      <c r="I18" t="s">
        <v>302</v>
      </c>
      <c r="J18" t="s">
        <v>26</v>
      </c>
      <c r="K18">
        <v>11</v>
      </c>
      <c r="L18">
        <v>331</v>
      </c>
      <c r="M18" t="s">
        <v>313</v>
      </c>
      <c r="N18" t="s">
        <v>50</v>
      </c>
      <c r="O18" t="s">
        <v>76</v>
      </c>
      <c r="P18">
        <v>2022</v>
      </c>
      <c r="Q18">
        <v>2022</v>
      </c>
      <c r="R18">
        <v>0</v>
      </c>
      <c r="S18">
        <v>2</v>
      </c>
      <c r="T18">
        <v>2</v>
      </c>
      <c r="U18">
        <v>1</v>
      </c>
      <c r="V18">
        <v>2093</v>
      </c>
      <c r="W18">
        <v>0</v>
      </c>
      <c r="X18">
        <v>0</v>
      </c>
      <c r="Y18">
        <v>0</v>
      </c>
      <c r="Z18">
        <v>0</v>
      </c>
      <c r="AA18">
        <v>0</v>
      </c>
      <c r="AB18">
        <v>2093</v>
      </c>
      <c r="AC18">
        <v>2500</v>
      </c>
      <c r="AD18">
        <v>2</v>
      </c>
      <c r="AE18" t="s">
        <v>132</v>
      </c>
      <c r="AF18" t="s">
        <v>153</v>
      </c>
      <c r="AG18" t="s">
        <v>274</v>
      </c>
      <c r="AI18">
        <v>0</v>
      </c>
      <c r="AJ18">
        <v>0</v>
      </c>
      <c r="AK18">
        <v>1</v>
      </c>
      <c r="AL18">
        <v>1</v>
      </c>
      <c r="AM18">
        <v>0</v>
      </c>
      <c r="AN18">
        <v>10</v>
      </c>
      <c r="AO18">
        <v>627</v>
      </c>
      <c r="AP18">
        <v>0</v>
      </c>
      <c r="AQ18">
        <v>627</v>
      </c>
      <c r="AR18">
        <v>0</v>
      </c>
      <c r="AS18">
        <v>0</v>
      </c>
      <c r="AT18">
        <v>0</v>
      </c>
      <c r="AU18">
        <v>0</v>
      </c>
      <c r="AV18">
        <v>100</v>
      </c>
      <c r="AW18">
        <v>100</v>
      </c>
      <c r="AX18">
        <v>529162</v>
      </c>
      <c r="AY18">
        <v>529162</v>
      </c>
      <c r="AZ18">
        <v>356</v>
      </c>
      <c r="BA18">
        <v>356</v>
      </c>
      <c r="BB18">
        <v>0</v>
      </c>
      <c r="BC18">
        <v>0</v>
      </c>
      <c r="BD18" s="6">
        <v>44936</v>
      </c>
      <c r="BE18" t="s">
        <v>103</v>
      </c>
      <c r="BF18">
        <v>776791</v>
      </c>
      <c r="BG18">
        <v>776791</v>
      </c>
      <c r="BH18" t="s">
        <v>198</v>
      </c>
      <c r="BI18">
        <v>30</v>
      </c>
      <c r="BJ18" t="s">
        <v>51</v>
      </c>
      <c r="BK18" t="s">
        <v>314</v>
      </c>
      <c r="BL18">
        <v>541600</v>
      </c>
      <c r="BM18">
        <v>74500</v>
      </c>
      <c r="BN18">
        <v>467100</v>
      </c>
      <c r="BO18">
        <v>0</v>
      </c>
      <c r="BP18">
        <v>0.69722743955581357</v>
      </c>
      <c r="BQ18">
        <v>520896.78652489791</v>
      </c>
      <c r="BR18">
        <v>577202.44525403716</v>
      </c>
      <c r="BS18" s="7">
        <f t="shared" si="0"/>
        <v>6.5735681783672742E-2</v>
      </c>
      <c r="BT18" s="14">
        <f>(Sales[[#This Row],[DP1]]*Lookups!$B$51)+(Sales[[#This Row],[DP2]]*Lookups!$B$52)+(Sales[[#This Row],[DP3]]*Lookups!$B$53)</f>
        <v>-49166.120860000003</v>
      </c>
      <c r="BU18" s="14">
        <f>Lookups!$B$48*0.5</f>
        <v>87214.824999999997</v>
      </c>
      <c r="BV18" s="14">
        <f>Lookups!$B$48*0.5</f>
        <v>87214.824999999997</v>
      </c>
      <c r="BW18" s="14">
        <f>Lookups!$B$49*Sales[[#This Row],[LnAcres]]</f>
        <v>-16366.370921578005</v>
      </c>
      <c r="BX18" s="14">
        <f>VLOOKUP(Sales[[#This Row],[Qlty]],Lookups!$A$54:$E$67,2,FALSE)</f>
        <v>141724.10243</v>
      </c>
      <c r="BY18" s="14">
        <f>VLOOKUP(Sales[[#This Row],[Cnd]],Lookups!$A$68:$E$76,2,FALSE)</f>
        <v>133581.64413</v>
      </c>
      <c r="BZ18" s="14">
        <f>Sales[[#This Row],[Age]]*Lookups!$B$77</f>
        <v>1107.07458</v>
      </c>
      <c r="CA18" s="14">
        <f>Sales[[#This Row],[MainFn]]*Lookups!$B$78</f>
        <v>226041.07784800002</v>
      </c>
      <c r="CB18" s="14">
        <f>Sales[[#This Row],[UpprFn]]*Lookups!$B$79</f>
        <v>0</v>
      </c>
      <c r="CC18" s="14">
        <f>Sales[[#This Row],[AddFn]]*Lookups!$B$80</f>
        <v>0</v>
      </c>
      <c r="CD18" s="14">
        <f>Sales[[#This Row],[Bsmt]]*Lookups!$B$81</f>
        <v>0</v>
      </c>
      <c r="CE18" s="14">
        <f>Sales[[#This Row],[Fixtures]]*Lookups!$B$84</f>
        <v>172636.7</v>
      </c>
      <c r="CF18" s="14">
        <f>SUM(Sales[[#This Row],[Days Prior Total]:[Mdl Fixtures]])</f>
        <v>783987.75720642204</v>
      </c>
      <c r="CG18" s="14">
        <f>ROUND(Sales[[#This Row],[25Det]],-2)</f>
        <v>0</v>
      </c>
      <c r="CH18" s="14">
        <f>ROUND(SUM(Sales[[#This Row],[Mdl LnAcres]:[Mdl Fixtures]])+Sales[[#This Row],[Mdl Res Intercept]]+Sales[[#This Row],[Days Prior Total]],-2)</f>
        <v>696800</v>
      </c>
      <c r="CI18" s="14">
        <f>ROUND(Sales[[#This Row],[Mdl Land Intercept]]+Sales[[#This Row],[Mdl LnAcres]],-2)</f>
        <v>70800</v>
      </c>
      <c r="CJ18" s="14">
        <f>Sales[[#This Row],[Unadj Res Value]]+Sales[[#This Row],[Unadj Det Value]]+Sales[[#This Row],[Unadj Land Value]]</f>
        <v>905100</v>
      </c>
      <c r="CK18" s="15">
        <f>Sales[[#This Row],[Unadj Total Value]]/Sales[[#This Row],[Price]]</f>
        <v>0.98702290076335875</v>
      </c>
      <c r="CL18" s="15">
        <f>(Sales[[#This Row],[Unadj Total Value]]-Sales[[#This Row],[24Final]])/Sales[[#This Row],[24Final]]</f>
        <v>0.26924694993689524</v>
      </c>
      <c r="CM18">
        <f>VLOOKUP(Sales[[#This Row],[TNbhd]],Lookups!$M$2:$P$4,4,FALSE)</f>
        <v>0.97570000000000001</v>
      </c>
      <c r="CN18">
        <f>VLOOKUP(Sales[[#This Row],[Qlty]],Lookups!$M$6:$P$20,4,FALSE)</f>
        <v>1.0051000000000001</v>
      </c>
      <c r="CO18">
        <f>VLOOKUP(Sales[[#This Row],[Cnd]],Lookups!$R$6:$U$15,4,FALSE)</f>
        <v>0.98370000000000002</v>
      </c>
      <c r="CP18">
        <f>VLOOKUP(Sales[[#This Row],[LivArea Range]],Lookups!$R$23:$U$39,4,FALSE)</f>
        <v>0.99619999999999997</v>
      </c>
      <c r="CQ18">
        <f>VLOOKUP(Sales[[#This Row],[Decade]],Lookups!$M$23:$P$35,4,FALSE)</f>
        <v>0.99060000000000004</v>
      </c>
      <c r="CR18">
        <f>Sales[[#This Row],[Nbhd Adj]]*0.95</f>
        <v>0.92691499999999993</v>
      </c>
      <c r="CS18">
        <f>Sales[[#This Row],[Nbhd Adj]]*Sales[[#This Row],[Quality Adj]]*Sales[[#This Row],[Condition Adj]]*Sales[[#This Row],[Living Area Adj]]*Sales[[#This Row],[Decade Adj]]*0.95</f>
        <v>0.90439200761440286</v>
      </c>
      <c r="CT18">
        <f>ROUND(SUM(Sales[[#This Row],[Mdl Qlty]:[Mdl GarageArea]])+Sales[[#This Row],[Mdl Res Intercept]]*Sales[[#This Row],[Res Adj ]],-2)</f>
        <v>875100</v>
      </c>
      <c r="CU18">
        <f>ROUND(Sales[[#This Row],[25Det]]*Sales[[#This Row],[Det/Nbhd Adj]],-2)</f>
        <v>0</v>
      </c>
      <c r="CV18">
        <f>Sales[[#This Row],[Adjusted Res]]+Sales[[#This Row],[Adj Det ]]</f>
        <v>875100</v>
      </c>
      <c r="CW18">
        <f>ROUND((Sales[[#This Row],[Mdl Land Intercept]]+Sales[[#This Row],[Mdl LnAcres]])*Sales[[#This Row],[Det/Nbhd Adj]],-2)</f>
        <v>65700</v>
      </c>
      <c r="CX18">
        <f>Sales[[#This Row],[Adjusted Impr Total]]+Sales[[#This Row],[Adjusted Land Total]]</f>
        <v>940800</v>
      </c>
      <c r="CY18">
        <f>IFERROR((Sales[[#This Row],[Adjusted Impr Total]]-Sales[[#This Row],[24Bldg]])/Sales[[#This Row],[24Bldg]],0)</f>
        <v>0.48397490249279296</v>
      </c>
      <c r="CZ18">
        <f>(Sales[[#This Row],[Adjusted Land Total]]-Sales[[#This Row],[24Lnd]])/Sales[[#This Row],[24Lnd]]</f>
        <v>-0.46758508914100488</v>
      </c>
      <c r="DA18">
        <f>(Sales[[#This Row],[Adjusted Total]]-Sales[[#This Row],[24Final]])/Sales[[#This Row],[24Final]]</f>
        <v>0.31931005469078672</v>
      </c>
      <c r="DB18">
        <f>(Sales[[#This Row],[Adjusted Total]]+Sales[[#This Row],[Days Prior Total]])/Sales[[#This Row],[Price]]</f>
        <v>0.97233792708833144</v>
      </c>
    </row>
    <row r="19" spans="1:106" x14ac:dyDescent="0.3">
      <c r="A19">
        <v>2025</v>
      </c>
      <c r="B19" s="1">
        <v>18131531494</v>
      </c>
      <c r="C19">
        <v>-3.912023005428146</v>
      </c>
      <c r="D19">
        <v>0.02</v>
      </c>
      <c r="E19">
        <v>7513</v>
      </c>
      <c r="F19">
        <v>5</v>
      </c>
      <c r="G19" t="s">
        <v>89</v>
      </c>
      <c r="H19" t="s">
        <v>302</v>
      </c>
      <c r="I19" t="s">
        <v>302</v>
      </c>
      <c r="J19" t="s">
        <v>26</v>
      </c>
      <c r="K19">
        <v>11</v>
      </c>
      <c r="L19">
        <v>259</v>
      </c>
      <c r="M19" t="s">
        <v>313</v>
      </c>
      <c r="N19" t="s">
        <v>111</v>
      </c>
      <c r="O19" t="s">
        <v>76</v>
      </c>
      <c r="P19">
        <v>2023</v>
      </c>
      <c r="Q19">
        <v>2023</v>
      </c>
      <c r="R19">
        <v>0</v>
      </c>
      <c r="S19">
        <v>1</v>
      </c>
      <c r="T19">
        <v>1</v>
      </c>
      <c r="U19">
        <v>1</v>
      </c>
      <c r="V19">
        <v>2092</v>
      </c>
      <c r="W19">
        <v>0</v>
      </c>
      <c r="X19">
        <v>0</v>
      </c>
      <c r="Y19">
        <v>0</v>
      </c>
      <c r="Z19">
        <v>0</v>
      </c>
      <c r="AA19">
        <v>0</v>
      </c>
      <c r="AB19">
        <v>2092</v>
      </c>
      <c r="AC19">
        <v>2500</v>
      </c>
      <c r="AD19">
        <v>3</v>
      </c>
      <c r="AE19" t="s">
        <v>132</v>
      </c>
      <c r="AF19" t="s">
        <v>153</v>
      </c>
      <c r="AG19" t="s">
        <v>274</v>
      </c>
      <c r="AI19">
        <v>0</v>
      </c>
      <c r="AJ19">
        <v>0</v>
      </c>
      <c r="AK19">
        <v>1</v>
      </c>
      <c r="AL19">
        <v>1</v>
      </c>
      <c r="AM19">
        <v>0</v>
      </c>
      <c r="AN19">
        <v>9</v>
      </c>
      <c r="AO19">
        <v>718</v>
      </c>
      <c r="AP19">
        <v>0</v>
      </c>
      <c r="AQ19">
        <v>718</v>
      </c>
      <c r="AR19">
        <v>0</v>
      </c>
      <c r="AS19">
        <v>0</v>
      </c>
      <c r="AT19">
        <v>0</v>
      </c>
      <c r="AU19">
        <v>0</v>
      </c>
      <c r="AV19">
        <v>100</v>
      </c>
      <c r="AW19">
        <v>100</v>
      </c>
      <c r="AX19">
        <v>454173</v>
      </c>
      <c r="AY19">
        <v>454173</v>
      </c>
      <c r="AZ19">
        <v>49</v>
      </c>
      <c r="BA19">
        <v>49</v>
      </c>
      <c r="BB19">
        <v>0</v>
      </c>
      <c r="BC19">
        <v>0</v>
      </c>
      <c r="BD19" s="6">
        <v>45243</v>
      </c>
      <c r="BE19" t="s">
        <v>225</v>
      </c>
      <c r="BF19">
        <v>825000</v>
      </c>
      <c r="BG19">
        <v>825000</v>
      </c>
      <c r="BH19" t="s">
        <v>198</v>
      </c>
      <c r="BI19">
        <v>30</v>
      </c>
      <c r="BJ19" t="s">
        <v>51</v>
      </c>
      <c r="BK19" t="s">
        <v>314</v>
      </c>
      <c r="BL19">
        <v>474900</v>
      </c>
      <c r="BM19">
        <v>59900</v>
      </c>
      <c r="BN19">
        <v>415000</v>
      </c>
      <c r="BO19">
        <v>0</v>
      </c>
      <c r="BP19">
        <v>0.57563636363636361</v>
      </c>
      <c r="BQ19">
        <v>502603.33700446744</v>
      </c>
      <c r="BR19">
        <v>510353.27317786019</v>
      </c>
      <c r="BS19" s="7">
        <f t="shared" si="0"/>
        <v>7.4654186518972807E-2</v>
      </c>
      <c r="BT19" s="14">
        <f>(Sales[[#This Row],[DP1]]*Lookups!$B$51)+(Sales[[#This Row],[DP2]]*Lookups!$B$52)+(Sales[[#This Row],[DP3]]*Lookups!$B$53)</f>
        <v>-53257.336338000008</v>
      </c>
      <c r="BU19" s="14">
        <f>Lookups!$B$48*0.5</f>
        <v>87214.824999999997</v>
      </c>
      <c r="BV19" s="14">
        <f>Lookups!$B$48*0.5</f>
        <v>87214.824999999997</v>
      </c>
      <c r="BW19" s="14">
        <f>Lookups!$B$49*Sales[[#This Row],[LnAcres]]</f>
        <v>-115257.49021870131</v>
      </c>
      <c r="BX19" s="14">
        <f>VLOOKUP(Sales[[#This Row],[Qlty]],Lookups!$A$54:$E$67,2,FALSE)</f>
        <v>243340.36395999999</v>
      </c>
      <c r="BY19" s="14">
        <f>VLOOKUP(Sales[[#This Row],[Cnd]],Lookups!$A$68:$E$76,2,FALSE)</f>
        <v>133581.64413</v>
      </c>
      <c r="BZ19" s="14">
        <f>Sales[[#This Row],[Age]]*Lookups!$B$77</f>
        <v>1291.58701</v>
      </c>
      <c r="CA19" s="14">
        <f>Sales[[#This Row],[MainFn]]*Lookups!$B$78</f>
        <v>120205.21866000001</v>
      </c>
      <c r="CB19" s="14">
        <f>Sales[[#This Row],[UpprFn]]*Lookups!$B$79</f>
        <v>0</v>
      </c>
      <c r="CC19" s="14">
        <f>Sales[[#This Row],[AddFn]]*Lookups!$B$80</f>
        <v>0</v>
      </c>
      <c r="CD19" s="14">
        <f>Sales[[#This Row],[Bsmt]]*Lookups!$B$81</f>
        <v>0</v>
      </c>
      <c r="CE19" s="14">
        <f>Sales[[#This Row],[Fixtures]]*Lookups!$B$84</f>
        <v>101551</v>
      </c>
      <c r="CF19" s="14">
        <f>SUM(Sales[[#This Row],[Days Prior Total]:[Mdl Fixtures]])</f>
        <v>605884.63720329874</v>
      </c>
      <c r="CG19" s="14">
        <f>ROUND(Sales[[#This Row],[25Det]],-2)</f>
        <v>0</v>
      </c>
      <c r="CH19" s="14">
        <f>ROUND(SUM(Sales[[#This Row],[Mdl LnAcres]:[Mdl Fixtures]])+Sales[[#This Row],[Mdl Res Intercept]]+Sales[[#This Row],[Days Prior Total]],-2)</f>
        <v>518700</v>
      </c>
      <c r="CI19" s="14">
        <f>ROUND(Sales[[#This Row],[Mdl Land Intercept]]+Sales[[#This Row],[Mdl LnAcres]],-2)</f>
        <v>-28000</v>
      </c>
      <c r="CJ19" s="14">
        <f>Sales[[#This Row],[Unadj Res Value]]+Sales[[#This Row],[Unadj Det Value]]+Sales[[#This Row],[Unadj Land Value]]</f>
        <v>676000</v>
      </c>
      <c r="CK19" s="15">
        <f>Sales[[#This Row],[Unadj Total Value]]/Sales[[#This Row],[Price]]</f>
        <v>1.0755630795471178</v>
      </c>
      <c r="CL19" s="15">
        <f>(Sales[[#This Row],[Unadj Total Value]]-Sales[[#This Row],[24Final]])/Sales[[#This Row],[24Final]]</f>
        <v>0.35715719734992973</v>
      </c>
      <c r="CM19">
        <f>VLOOKUP(Sales[[#This Row],[TNbhd]],Lookups!$M$2:$P$4,4,FALSE)</f>
        <v>0.97570000000000001</v>
      </c>
      <c r="CN19">
        <f>VLOOKUP(Sales[[#This Row],[Qlty]],Lookups!$M$6:$P$20,4,FALSE)</f>
        <v>0.99519999999999997</v>
      </c>
      <c r="CO19">
        <f>VLOOKUP(Sales[[#This Row],[Cnd]],Lookups!$R$6:$U$15,4,FALSE)</f>
        <v>0.98370000000000002</v>
      </c>
      <c r="CP19">
        <f>VLOOKUP(Sales[[#This Row],[LivArea Range]],Lookups!$R$23:$U$39,4,FALSE)</f>
        <v>0.99099999999999999</v>
      </c>
      <c r="CQ19">
        <f>VLOOKUP(Sales[[#This Row],[Decade]],Lookups!$M$23:$P$35,4,FALSE)</f>
        <v>0.99060000000000004</v>
      </c>
      <c r="CR19">
        <f>Sales[[#This Row],[Nbhd Adj]]*0.95</f>
        <v>0.92691499999999993</v>
      </c>
      <c r="CS19">
        <f>Sales[[#This Row],[Nbhd Adj]]*Sales[[#This Row],[Quality Adj]]*Sales[[#This Row],[Condition Adj]]*Sales[[#This Row],[Living Area Adj]]*Sales[[#This Row],[Decade Adj]]*0.95</f>
        <v>0.89080967895299223</v>
      </c>
      <c r="CT19">
        <f>ROUND(SUM(Sales[[#This Row],[Mdl Qlty]:[Mdl GarageArea]])+Sales[[#This Row],[Mdl Res Intercept]]*Sales[[#This Row],[Res Adj ]],-2)</f>
        <v>747700</v>
      </c>
      <c r="CU19">
        <f>ROUND(Sales[[#This Row],[25Det]]*Sales[[#This Row],[Det/Nbhd Adj]],-2)</f>
        <v>0</v>
      </c>
      <c r="CV19">
        <f>Sales[[#This Row],[Adjusted Res]]+Sales[[#This Row],[Adj Det ]]</f>
        <v>747700</v>
      </c>
      <c r="CW19">
        <f>ROUND((Sales[[#This Row],[Mdl Land Intercept]]+Sales[[#This Row],[Mdl LnAcres]])*Sales[[#This Row],[Det/Nbhd Adj]],-2)</f>
        <v>-26000</v>
      </c>
      <c r="CX19">
        <f>Sales[[#This Row],[Adjusted Impr Total]]+Sales[[#This Row],[Adjusted Land Total]]</f>
        <v>721700</v>
      </c>
      <c r="CY19">
        <f>IFERROR((Sales[[#This Row],[Adjusted Impr Total]]-Sales[[#This Row],[24Bldg]])/Sales[[#This Row],[24Bldg]],0)</f>
        <v>0.67909274646305862</v>
      </c>
      <c r="CZ19">
        <f>(Sales[[#This Row],[Adjusted Land Total]]-Sales[[#This Row],[24Lnd]])/Sales[[#This Row],[24Lnd]]</f>
        <v>-1.4924242424242424</v>
      </c>
      <c r="DA19">
        <f>(Sales[[#This Row],[Adjusted Total]]-Sales[[#This Row],[24Final]])/Sales[[#This Row],[24Final]]</f>
        <v>0.44890584220036139</v>
      </c>
      <c r="DB19">
        <f>(Sales[[#This Row],[Adjusted Total]]+Sales[[#This Row],[Days Prior Total]])/Sales[[#This Row],[Price]]</f>
        <v>1.0635388311079572</v>
      </c>
    </row>
    <row r="20" spans="1:106" x14ac:dyDescent="0.3">
      <c r="A20">
        <v>2025</v>
      </c>
      <c r="B20" s="1">
        <v>18131531494</v>
      </c>
      <c r="C20">
        <v>-3.912023005428146</v>
      </c>
      <c r="D20">
        <v>0.02</v>
      </c>
      <c r="E20">
        <v>7513</v>
      </c>
      <c r="F20">
        <v>5</v>
      </c>
      <c r="G20" t="s">
        <v>89</v>
      </c>
      <c r="H20" t="s">
        <v>302</v>
      </c>
      <c r="I20" t="s">
        <v>302</v>
      </c>
      <c r="J20" t="s">
        <v>26</v>
      </c>
      <c r="K20">
        <v>11</v>
      </c>
      <c r="L20">
        <v>259</v>
      </c>
      <c r="M20" t="s">
        <v>313</v>
      </c>
      <c r="N20" t="s">
        <v>111</v>
      </c>
      <c r="O20" t="s">
        <v>76</v>
      </c>
      <c r="P20">
        <v>2023</v>
      </c>
      <c r="Q20">
        <v>2023</v>
      </c>
      <c r="R20">
        <v>0</v>
      </c>
      <c r="S20">
        <v>1</v>
      </c>
      <c r="T20">
        <v>1</v>
      </c>
      <c r="U20">
        <v>1</v>
      </c>
      <c r="V20">
        <v>2092</v>
      </c>
      <c r="W20">
        <v>0</v>
      </c>
      <c r="X20">
        <v>0</v>
      </c>
      <c r="Y20">
        <v>0</v>
      </c>
      <c r="Z20">
        <v>0</v>
      </c>
      <c r="AA20">
        <v>0</v>
      </c>
      <c r="AB20">
        <v>2092</v>
      </c>
      <c r="AC20">
        <v>2500</v>
      </c>
      <c r="AD20">
        <v>3</v>
      </c>
      <c r="AE20" t="s">
        <v>132</v>
      </c>
      <c r="AF20" t="s">
        <v>153</v>
      </c>
      <c r="AG20" t="s">
        <v>274</v>
      </c>
      <c r="AI20">
        <v>0</v>
      </c>
      <c r="AJ20">
        <v>0</v>
      </c>
      <c r="AK20">
        <v>1</v>
      </c>
      <c r="AL20">
        <v>0</v>
      </c>
      <c r="AM20">
        <v>0</v>
      </c>
      <c r="AN20">
        <v>9</v>
      </c>
      <c r="AO20">
        <v>718</v>
      </c>
      <c r="AP20">
        <v>0</v>
      </c>
      <c r="AQ20">
        <v>718</v>
      </c>
      <c r="AR20">
        <v>0</v>
      </c>
      <c r="AS20">
        <v>0</v>
      </c>
      <c r="AT20">
        <v>0</v>
      </c>
      <c r="AU20">
        <v>0</v>
      </c>
      <c r="AV20">
        <v>100</v>
      </c>
      <c r="AW20">
        <v>100</v>
      </c>
      <c r="AX20">
        <v>454173</v>
      </c>
      <c r="AY20">
        <v>454173</v>
      </c>
      <c r="AZ20">
        <v>174</v>
      </c>
      <c r="BA20">
        <v>174</v>
      </c>
      <c r="BB20">
        <v>0</v>
      </c>
      <c r="BC20">
        <v>0</v>
      </c>
      <c r="BD20" s="6">
        <v>45118</v>
      </c>
      <c r="BE20" t="s">
        <v>104</v>
      </c>
      <c r="BF20">
        <v>810000</v>
      </c>
      <c r="BG20">
        <v>810000</v>
      </c>
      <c r="BH20" t="s">
        <v>198</v>
      </c>
      <c r="BI20">
        <v>30</v>
      </c>
      <c r="BJ20" t="s">
        <v>51</v>
      </c>
      <c r="BK20" t="s">
        <v>314</v>
      </c>
      <c r="BL20">
        <v>474900</v>
      </c>
      <c r="BM20">
        <v>59900</v>
      </c>
      <c r="BN20">
        <v>415000</v>
      </c>
      <c r="BO20">
        <v>0</v>
      </c>
      <c r="BP20">
        <v>0.58629629629629632</v>
      </c>
      <c r="BQ20">
        <v>482833.09166417975</v>
      </c>
      <c r="BR20">
        <v>510353.27317786019</v>
      </c>
      <c r="BS20" s="7">
        <f t="shared" si="0"/>
        <v>7.4654186518972807E-2</v>
      </c>
      <c r="BT20" s="14">
        <f>(Sales[[#This Row],[DP1]]*Lookups!$B$51)+(Sales[[#This Row],[DP2]]*Lookups!$B$52)+(Sales[[#This Row],[DP3]]*Lookups!$B$53)</f>
        <v>-105393.83271</v>
      </c>
      <c r="BU20" s="14">
        <f>Lookups!$B$48*0.5</f>
        <v>87214.824999999997</v>
      </c>
      <c r="BV20" s="14">
        <f>Lookups!$B$48*0.5</f>
        <v>87214.824999999997</v>
      </c>
      <c r="BW20" s="14">
        <f>Lookups!$B$49*Sales[[#This Row],[LnAcres]]</f>
        <v>-97909.509328312808</v>
      </c>
      <c r="BX20" s="14">
        <f>VLOOKUP(Sales[[#This Row],[Qlty]],Lookups!$A$54:$E$67,2,FALSE)</f>
        <v>46722.525125</v>
      </c>
      <c r="BY20" s="14">
        <f>VLOOKUP(Sales[[#This Row],[Cnd]],Lookups!$A$68:$E$76,2,FALSE)</f>
        <v>133581.64413</v>
      </c>
      <c r="BZ20" s="14">
        <f>Sales[[#This Row],[Age]]*Lookups!$B$77</f>
        <v>1291.58701</v>
      </c>
      <c r="CA20" s="14">
        <f>Sales[[#This Row],[MainFn]]*Lookups!$B$78</f>
        <v>153641.61281600001</v>
      </c>
      <c r="CB20" s="14">
        <f>Sales[[#This Row],[UpprFn]]*Lookups!$B$79</f>
        <v>55432.862550000005</v>
      </c>
      <c r="CC20" s="14">
        <f>Sales[[#This Row],[AddFn]]*Lookups!$B$80</f>
        <v>19732.691579999999</v>
      </c>
      <c r="CD20" s="14">
        <f>Sales[[#This Row],[Bsmt]]*Lookups!$B$81</f>
        <v>0</v>
      </c>
      <c r="CE20" s="14">
        <f>Sales[[#This Row],[Fixtures]]*Lookups!$B$84</f>
        <v>172636.7</v>
      </c>
      <c r="CF20" s="14">
        <f>SUM(Sales[[#This Row],[Days Prior Total]:[Mdl Fixtures]])</f>
        <v>554165.93117268721</v>
      </c>
      <c r="CG20" s="14">
        <f>ROUND(Sales[[#This Row],[25Det]],-2)</f>
        <v>0</v>
      </c>
      <c r="CH20" s="14">
        <f>ROUND(SUM(Sales[[#This Row],[Mdl LnAcres]:[Mdl Fixtures]])+Sales[[#This Row],[Mdl Res Intercept]]+Sales[[#This Row],[Days Prior Total]],-2)</f>
        <v>467000</v>
      </c>
      <c r="CI20" s="14">
        <f>ROUND(Sales[[#This Row],[Mdl Land Intercept]]+Sales[[#This Row],[Mdl LnAcres]],-2)</f>
        <v>-10700</v>
      </c>
      <c r="CJ20" s="14">
        <f>Sales[[#This Row],[Unadj Res Value]]+Sales[[#This Row],[Unadj Det Value]]+Sales[[#This Row],[Unadj Land Value]]</f>
        <v>640600</v>
      </c>
      <c r="CK20" s="15">
        <f>Sales[[#This Row],[Unadj Total Value]]/Sales[[#This Row],[Price]]</f>
        <v>1.0168253968253969</v>
      </c>
      <c r="CL20" s="15">
        <f>(Sales[[#This Row],[Unadj Total Value]]-Sales[[#This Row],[24Final]])/Sales[[#This Row],[24Final]]</f>
        <v>-5.5440872898849899E-2</v>
      </c>
      <c r="CM20">
        <f>VLOOKUP(Sales[[#This Row],[TNbhd]],Lookups!$M$2:$P$4,4,FALSE)</f>
        <v>0.97570000000000001</v>
      </c>
      <c r="CN20">
        <f>VLOOKUP(Sales[[#This Row],[Qlty]],Lookups!$M$6:$P$20,4,FALSE)</f>
        <v>0.98329999999999995</v>
      </c>
      <c r="CO20">
        <f>VLOOKUP(Sales[[#This Row],[Cnd]],Lookups!$R$6:$U$15,4,FALSE)</f>
        <v>0.98370000000000002</v>
      </c>
      <c r="CP20">
        <f>VLOOKUP(Sales[[#This Row],[LivArea Range]],Lookups!$R$23:$U$39,4,FALSE)</f>
        <v>1.034</v>
      </c>
      <c r="CQ20">
        <f>VLOOKUP(Sales[[#This Row],[Decade]],Lookups!$M$23:$P$35,4,FALSE)</f>
        <v>0.99060000000000004</v>
      </c>
      <c r="CR20">
        <f>Sales[[#This Row],[Nbhd Adj]]*0.95</f>
        <v>0.92691499999999993</v>
      </c>
      <c r="CS20">
        <f>Sales[[#This Row],[Nbhd Adj]]*Sales[[#This Row],[Quality Adj]]*Sales[[#This Row],[Condition Adj]]*Sales[[#This Row],[Living Area Adj]]*Sales[[#This Row],[Decade Adj]]*0.95</f>
        <v>0.91834842021031871</v>
      </c>
      <c r="CT20">
        <f>ROUND(SUM(Sales[[#This Row],[Mdl Qlty]:[Mdl GarageArea]])+Sales[[#This Row],[Mdl Res Intercept]]*Sales[[#This Row],[Res Adj ]],-2)</f>
        <v>749600</v>
      </c>
      <c r="CU20">
        <f>ROUND(Sales[[#This Row],[25Det]]*Sales[[#This Row],[Det/Nbhd Adj]],-2)</f>
        <v>0</v>
      </c>
      <c r="CV20">
        <f>Sales[[#This Row],[Adjusted Res]]+Sales[[#This Row],[Adj Det ]]</f>
        <v>749600</v>
      </c>
      <c r="CW20">
        <f>ROUND((Sales[[#This Row],[Mdl Land Intercept]]+Sales[[#This Row],[Mdl LnAcres]])*Sales[[#This Row],[Det/Nbhd Adj]],-2)</f>
        <v>-9900</v>
      </c>
      <c r="CX20">
        <f>Sales[[#This Row],[Adjusted Impr Total]]+Sales[[#This Row],[Adjusted Land Total]]</f>
        <v>739700</v>
      </c>
      <c r="CY20">
        <f>IFERROR((Sales[[#This Row],[Adjusted Impr Total]]-Sales[[#This Row],[24Bldg]])/Sales[[#This Row],[24Bldg]],0)</f>
        <v>0.24167632930263375</v>
      </c>
      <c r="CZ20">
        <f>(Sales[[#This Row],[Adjusted Land Total]]-Sales[[#This Row],[24Lnd]])/Sales[[#This Row],[24Lnd]]</f>
        <v>-1.1328859060402685</v>
      </c>
      <c r="DA20">
        <f>(Sales[[#This Row],[Adjusted Total]]-Sales[[#This Row],[24Final]])/Sales[[#This Row],[24Final]]</f>
        <v>9.0681214980831606E-2</v>
      </c>
      <c r="DB20">
        <f>(Sales[[#This Row],[Adjusted Total]]+Sales[[#This Row],[Days Prior Total]])/Sales[[#This Row],[Price]]</f>
        <v>1.0068351861746032</v>
      </c>
    </row>
    <row r="21" spans="1:106" x14ac:dyDescent="0.3">
      <c r="A21">
        <v>2025</v>
      </c>
      <c r="B21" s="5">
        <v>18131731425</v>
      </c>
      <c r="C21">
        <v>0.75612197972133366</v>
      </c>
      <c r="D21">
        <v>2.13</v>
      </c>
      <c r="E21">
        <v>0</v>
      </c>
      <c r="F21">
        <v>1</v>
      </c>
      <c r="G21" t="s">
        <v>89</v>
      </c>
      <c r="H21" t="s">
        <v>203</v>
      </c>
      <c r="I21" t="s">
        <v>302</v>
      </c>
      <c r="J21" t="s">
        <v>110</v>
      </c>
      <c r="K21">
        <v>11</v>
      </c>
      <c r="L21">
        <v>331</v>
      </c>
      <c r="M21" t="s">
        <v>313</v>
      </c>
      <c r="N21" t="s">
        <v>230</v>
      </c>
      <c r="O21" t="s">
        <v>258</v>
      </c>
      <c r="P21">
        <v>1992</v>
      </c>
      <c r="Q21">
        <v>1992</v>
      </c>
      <c r="R21">
        <v>30</v>
      </c>
      <c r="S21">
        <v>32</v>
      </c>
      <c r="T21">
        <v>32</v>
      </c>
      <c r="U21">
        <v>2</v>
      </c>
      <c r="V21">
        <v>3631</v>
      </c>
      <c r="W21">
        <v>4152</v>
      </c>
      <c r="X21">
        <v>0</v>
      </c>
      <c r="Y21">
        <v>0</v>
      </c>
      <c r="Z21">
        <v>0</v>
      </c>
      <c r="AA21">
        <v>0</v>
      </c>
      <c r="AB21">
        <v>7783</v>
      </c>
      <c r="AC21">
        <v>8000</v>
      </c>
      <c r="AD21">
        <v>3</v>
      </c>
      <c r="AF21" t="s">
        <v>153</v>
      </c>
      <c r="AG21" t="s">
        <v>274</v>
      </c>
      <c r="AI21">
        <v>0</v>
      </c>
      <c r="AJ21">
        <v>2</v>
      </c>
      <c r="AK21">
        <v>0</v>
      </c>
      <c r="AL21">
        <v>0</v>
      </c>
      <c r="AM21">
        <v>1</v>
      </c>
      <c r="AN21">
        <v>22</v>
      </c>
      <c r="AO21">
        <v>0</v>
      </c>
      <c r="AP21">
        <v>1145</v>
      </c>
      <c r="AQ21">
        <v>1145</v>
      </c>
      <c r="AR21">
        <v>0</v>
      </c>
      <c r="AS21">
        <v>0</v>
      </c>
      <c r="AT21">
        <v>0</v>
      </c>
      <c r="AU21">
        <v>0</v>
      </c>
      <c r="AV21">
        <v>100</v>
      </c>
      <c r="AW21">
        <v>100</v>
      </c>
      <c r="AX21">
        <v>2526688</v>
      </c>
      <c r="AY21">
        <v>2349820</v>
      </c>
      <c r="AZ21">
        <v>591</v>
      </c>
      <c r="BA21">
        <v>365</v>
      </c>
      <c r="BB21">
        <v>226</v>
      </c>
      <c r="BC21">
        <v>0</v>
      </c>
      <c r="BD21" s="6">
        <v>44701</v>
      </c>
      <c r="BE21" t="s">
        <v>322</v>
      </c>
      <c r="BF21">
        <v>2300000</v>
      </c>
      <c r="BG21">
        <v>2162965</v>
      </c>
      <c r="BH21" t="s">
        <v>198</v>
      </c>
      <c r="BI21">
        <v>30</v>
      </c>
      <c r="BJ21" t="s">
        <v>51</v>
      </c>
      <c r="BK21" t="s">
        <v>314</v>
      </c>
      <c r="BL21">
        <v>2205300</v>
      </c>
      <c r="BM21">
        <v>207000</v>
      </c>
      <c r="BN21">
        <v>1998300</v>
      </c>
      <c r="BO21">
        <v>137035</v>
      </c>
      <c r="BP21">
        <v>0.95882608695652172</v>
      </c>
      <c r="BQ21">
        <v>1625695.8846555261</v>
      </c>
      <c r="BR21">
        <v>1661922.3336915865</v>
      </c>
      <c r="BS21" s="7">
        <f t="shared" si="0"/>
        <v>-0.24639625733841813</v>
      </c>
      <c r="BT21" s="14">
        <f>(Sales[[#This Row],[DP1]]*Lookups!$B$51)+(Sales[[#This Row],[DP2]]*Lookups!$B$52)+(Sales[[#This Row],[DP3]]*Lookups!$B$53)</f>
        <v>-50022.421774000002</v>
      </c>
      <c r="BU21" s="14">
        <f>Lookups!$B$48*0.5</f>
        <v>87214.824999999997</v>
      </c>
      <c r="BV21" s="14">
        <f>Lookups!$B$48*0.5</f>
        <v>87214.824999999997</v>
      </c>
      <c r="BW21" s="14">
        <f>Lookups!$B$49*Sales[[#This Row],[LnAcres]]</f>
        <v>-97909.509328312808</v>
      </c>
      <c r="BX21" s="14">
        <f>VLOOKUP(Sales[[#This Row],[Qlty]],Lookups!$A$54:$E$67,2,FALSE)</f>
        <v>141724.10243</v>
      </c>
      <c r="BY21" s="14">
        <f>VLOOKUP(Sales[[#This Row],[Cnd]],Lookups!$A$68:$E$76,2,FALSE)</f>
        <v>133581.64413</v>
      </c>
      <c r="BZ21" s="14">
        <f>Sales[[#This Row],[Age]]*Lookups!$B$77</f>
        <v>1291.58701</v>
      </c>
      <c r="CA21" s="14">
        <f>Sales[[#This Row],[MainFn]]*Lookups!$B$78</f>
        <v>120205.21866000001</v>
      </c>
      <c r="CB21" s="14">
        <f>Sales[[#This Row],[UpprFn]]*Lookups!$B$79</f>
        <v>0</v>
      </c>
      <c r="CC21" s="14">
        <f>Sales[[#This Row],[AddFn]]*Lookups!$B$80</f>
        <v>0</v>
      </c>
      <c r="CD21" s="14">
        <f>Sales[[#This Row],[Bsmt]]*Lookups!$B$81</f>
        <v>0</v>
      </c>
      <c r="CE21" s="14">
        <f>Sales[[#This Row],[Fixtures]]*Lookups!$B$84</f>
        <v>101551</v>
      </c>
      <c r="CF21" s="14">
        <f>SUM(Sales[[#This Row],[Days Prior Total]:[Mdl Fixtures]])</f>
        <v>524851.27112768719</v>
      </c>
      <c r="CG21" s="14">
        <f>ROUND(Sales[[#This Row],[25Det]],-2)</f>
        <v>0</v>
      </c>
      <c r="CH21" s="14">
        <f>ROUND(SUM(Sales[[#This Row],[Mdl LnAcres]:[Mdl Fixtures]])+Sales[[#This Row],[Mdl Res Intercept]]+Sales[[#This Row],[Days Prior Total]],-2)</f>
        <v>437600</v>
      </c>
      <c r="CI21" s="14">
        <f>ROUND(Sales[[#This Row],[Mdl Land Intercept]]+Sales[[#This Row],[Mdl LnAcres]],-2)</f>
        <v>-10700</v>
      </c>
      <c r="CJ21" s="14">
        <f>Sales[[#This Row],[Unadj Res Value]]+Sales[[#This Row],[Unadj Det Value]]+Sales[[#This Row],[Unadj Land Value]]</f>
        <v>594900</v>
      </c>
      <c r="CK21" s="15">
        <f>Sales[[#This Row],[Unadj Total Value]]/Sales[[#This Row],[Price]]</f>
        <v>0.9915826318859905</v>
      </c>
      <c r="CL21" s="15">
        <f>(Sales[[#This Row],[Unadj Total Value]]-Sales[[#This Row],[24Final]])/Sales[[#This Row],[24Final]]</f>
        <v>0.12414965986394558</v>
      </c>
      <c r="CM21">
        <f>VLOOKUP(Sales[[#This Row],[TNbhd]],Lookups!$M$2:$P$4,4,FALSE)</f>
        <v>0.97570000000000001</v>
      </c>
      <c r="CN21">
        <f>VLOOKUP(Sales[[#This Row],[Qlty]],Lookups!$M$6:$P$20,4,FALSE)</f>
        <v>1.0051000000000001</v>
      </c>
      <c r="CO21">
        <f>VLOOKUP(Sales[[#This Row],[Cnd]],Lookups!$R$6:$U$15,4,FALSE)</f>
        <v>0.98370000000000002</v>
      </c>
      <c r="CP21">
        <f>VLOOKUP(Sales[[#This Row],[LivArea Range]],Lookups!$R$23:$U$39,4,FALSE)</f>
        <v>0.99099999999999999</v>
      </c>
      <c r="CQ21">
        <f>VLOOKUP(Sales[[#This Row],[Decade]],Lookups!$M$23:$P$35,4,FALSE)</f>
        <v>0.99060000000000004</v>
      </c>
      <c r="CR21">
        <f>Sales[[#This Row],[Nbhd Adj]]*0.95</f>
        <v>0.92691499999999993</v>
      </c>
      <c r="CS21">
        <f>Sales[[#This Row],[Nbhd Adj]]*Sales[[#This Row],[Quality Adj]]*Sales[[#This Row],[Condition Adj]]*Sales[[#This Row],[Living Area Adj]]*Sales[[#This Row],[Decade Adj]]*0.95</f>
        <v>0.89967123022071205</v>
      </c>
      <c r="CT21">
        <f>ROUND(SUM(Sales[[#This Row],[Mdl Qlty]:[Mdl GarageArea]])+Sales[[#This Row],[Mdl Res Intercept]]*Sales[[#This Row],[Res Adj ]],-2)</f>
        <v>646900</v>
      </c>
      <c r="CU21">
        <f>ROUND(Sales[[#This Row],[25Det]]*Sales[[#This Row],[Det/Nbhd Adj]],-2)</f>
        <v>0</v>
      </c>
      <c r="CV21">
        <f>Sales[[#This Row],[Adjusted Res]]+Sales[[#This Row],[Adj Det ]]</f>
        <v>646900</v>
      </c>
      <c r="CW21">
        <f>ROUND((Sales[[#This Row],[Mdl Land Intercept]]+Sales[[#This Row],[Mdl LnAcres]])*Sales[[#This Row],[Det/Nbhd Adj]],-2)</f>
        <v>-9900</v>
      </c>
      <c r="CX21">
        <f>Sales[[#This Row],[Adjusted Impr Total]]+Sales[[#This Row],[Adjusted Land Total]]</f>
        <v>637000</v>
      </c>
      <c r="CY21">
        <f>IFERROR((Sales[[#This Row],[Adjusted Impr Total]]-Sales[[#This Row],[24Bldg]])/Sales[[#This Row],[24Bldg]],0)</f>
        <v>0.35789252728799326</v>
      </c>
      <c r="CZ21">
        <f>(Sales[[#This Row],[Adjusted Land Total]]-Sales[[#This Row],[24Lnd]])/Sales[[#This Row],[24Lnd]]</f>
        <v>-1.1875</v>
      </c>
      <c r="DA21">
        <f>(Sales[[#This Row],[Adjusted Total]]-Sales[[#This Row],[24Final]])/Sales[[#This Row],[24Final]]</f>
        <v>0.20370370370370369</v>
      </c>
      <c r="DB21">
        <f>(Sales[[#This Row],[Adjusted Total]]+Sales[[#This Row],[Days Prior Total]])/Sales[[#This Row],[Price]]</f>
        <v>0.9783774951679306</v>
      </c>
    </row>
    <row r="22" spans="1:106" x14ac:dyDescent="0.3">
      <c r="A22">
        <v>2025</v>
      </c>
      <c r="B22" s="3">
        <v>18131621426</v>
      </c>
      <c r="C22">
        <v>-0.15082288973458366</v>
      </c>
      <c r="D22">
        <v>0.86</v>
      </c>
      <c r="E22">
        <v>37329</v>
      </c>
      <c r="F22">
        <v>5</v>
      </c>
      <c r="G22" t="s">
        <v>89</v>
      </c>
      <c r="H22">
        <v>3042</v>
      </c>
      <c r="I22" t="s">
        <v>302</v>
      </c>
      <c r="J22" t="s">
        <v>110</v>
      </c>
      <c r="K22">
        <v>11</v>
      </c>
      <c r="L22">
        <v>259</v>
      </c>
      <c r="M22" t="s">
        <v>171</v>
      </c>
      <c r="N22" t="s">
        <v>152</v>
      </c>
      <c r="O22" t="s">
        <v>231</v>
      </c>
      <c r="P22">
        <v>1965</v>
      </c>
      <c r="Q22">
        <v>1976</v>
      </c>
      <c r="R22">
        <v>50</v>
      </c>
      <c r="S22">
        <v>59</v>
      </c>
      <c r="T22">
        <v>48</v>
      </c>
      <c r="U22">
        <v>1</v>
      </c>
      <c r="V22">
        <v>624</v>
      </c>
      <c r="W22">
        <v>260</v>
      </c>
      <c r="X22">
        <v>0</v>
      </c>
      <c r="Y22">
        <v>624</v>
      </c>
      <c r="Z22">
        <v>624</v>
      </c>
      <c r="AA22">
        <v>0</v>
      </c>
      <c r="AB22">
        <v>1508</v>
      </c>
      <c r="AC22">
        <v>2000</v>
      </c>
      <c r="AD22">
        <v>0</v>
      </c>
      <c r="AF22" t="s">
        <v>276</v>
      </c>
      <c r="AG22" t="s">
        <v>274</v>
      </c>
      <c r="AI22">
        <v>0</v>
      </c>
      <c r="AJ22">
        <v>0</v>
      </c>
      <c r="AK22">
        <v>0</v>
      </c>
      <c r="AL22">
        <v>1</v>
      </c>
      <c r="AM22">
        <v>0</v>
      </c>
      <c r="AN22">
        <v>8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100</v>
      </c>
      <c r="AW22">
        <v>100</v>
      </c>
      <c r="AX22">
        <v>192671</v>
      </c>
      <c r="AY22">
        <v>142577</v>
      </c>
      <c r="AZ22">
        <v>805</v>
      </c>
      <c r="BA22">
        <v>365</v>
      </c>
      <c r="BB22">
        <v>365</v>
      </c>
      <c r="BC22">
        <v>75</v>
      </c>
      <c r="BD22" s="6">
        <v>44487</v>
      </c>
      <c r="BE22" t="s">
        <v>7</v>
      </c>
      <c r="BF22">
        <v>260000</v>
      </c>
      <c r="BG22">
        <v>258759</v>
      </c>
      <c r="BH22" t="s">
        <v>198</v>
      </c>
      <c r="BI22">
        <v>30</v>
      </c>
      <c r="BJ22" t="s">
        <v>51</v>
      </c>
      <c r="BK22" t="s">
        <v>314</v>
      </c>
      <c r="BL22">
        <v>310900</v>
      </c>
      <c r="BM22">
        <v>152000</v>
      </c>
      <c r="BN22">
        <v>158900</v>
      </c>
      <c r="BO22">
        <v>1241</v>
      </c>
      <c r="BP22">
        <v>1.1957692307692307</v>
      </c>
      <c r="BS22" s="7">
        <f t="shared" si="0"/>
        <v>-1</v>
      </c>
      <c r="BT22" s="14">
        <f>(Sales[[#This Row],[DP1]]*Lookups!$B$51)+(Sales[[#This Row],[DP2]]*Lookups!$B$52)+(Sales[[#This Row],[DP3]]*Lookups!$B$53)</f>
        <v>-27630.160710000004</v>
      </c>
      <c r="BU22" s="14">
        <f>Lookups!$B$48*0.5</f>
        <v>87214.824999999997</v>
      </c>
      <c r="BV22" s="14">
        <f>Lookups!$B$48*0.5</f>
        <v>87214.824999999997</v>
      </c>
      <c r="BW22" s="14">
        <f>Lookups!$B$49*Sales[[#This Row],[LnAcres]]</f>
        <v>-97909.509328312808</v>
      </c>
      <c r="BX22" s="14">
        <f>VLOOKUP(Sales[[#This Row],[Qlty]],Lookups!$A$54:$E$67,2,FALSE)</f>
        <v>141724.10243</v>
      </c>
      <c r="BY22" s="14">
        <f>VLOOKUP(Sales[[#This Row],[Cnd]],Lookups!$A$68:$E$76,2,FALSE)</f>
        <v>133581.64413</v>
      </c>
      <c r="BZ22" s="14">
        <f>Sales[[#This Row],[Age]]*Lookups!$B$77</f>
        <v>1291.58701</v>
      </c>
      <c r="CA22" s="14">
        <f>Sales[[#This Row],[MainFn]]*Lookups!$B$78</f>
        <v>134298.24429600002</v>
      </c>
      <c r="CB22" s="14">
        <f>Sales[[#This Row],[UpprFn]]*Lookups!$B$79</f>
        <v>0</v>
      </c>
      <c r="CC22" s="14">
        <f>Sales[[#This Row],[AddFn]]*Lookups!$B$80</f>
        <v>0</v>
      </c>
      <c r="CD22" s="14">
        <f>Sales[[#This Row],[Bsmt]]*Lookups!$B$81</f>
        <v>0</v>
      </c>
      <c r="CE22" s="14">
        <f>Sales[[#This Row],[Fixtures]]*Lookups!$B$84</f>
        <v>101551</v>
      </c>
      <c r="CF22" s="14">
        <f>SUM(Sales[[#This Row],[Days Prior Total]:[Mdl Fixtures]])</f>
        <v>561336.55782768724</v>
      </c>
      <c r="CG22" s="14">
        <f>ROUND(Sales[[#This Row],[25Det]],-2)</f>
        <v>0</v>
      </c>
      <c r="CH22" s="14">
        <f>ROUND(SUM(Sales[[#This Row],[Mdl LnAcres]:[Mdl Fixtures]])+Sales[[#This Row],[Mdl Res Intercept]]+Sales[[#This Row],[Days Prior Total]],-2)</f>
        <v>474100</v>
      </c>
      <c r="CI22" s="14">
        <f>ROUND(Sales[[#This Row],[Mdl Land Intercept]]+Sales[[#This Row],[Mdl LnAcres]],-2)</f>
        <v>-10700</v>
      </c>
      <c r="CJ22" s="14">
        <f>Sales[[#This Row],[Unadj Res Value]]+Sales[[#This Row],[Unadj Det Value]]+Sales[[#This Row],[Unadj Land Value]]</f>
        <v>632600</v>
      </c>
      <c r="CK22" s="15">
        <f>Sales[[#This Row],[Unadj Total Value]]/Sales[[#This Row],[Price]]</f>
        <v>0.90500715307582258</v>
      </c>
      <c r="CL22" s="15">
        <f>(Sales[[#This Row],[Unadj Total Value]]-Sales[[#This Row],[24Final]])/Sales[[#This Row],[24Final]]</f>
        <v>6.363347120585428E-3</v>
      </c>
      <c r="CM22">
        <f>VLOOKUP(Sales[[#This Row],[TNbhd]],Lookups!$M$2:$P$4,4,FALSE)</f>
        <v>0.97570000000000001</v>
      </c>
      <c r="CN22">
        <f>VLOOKUP(Sales[[#This Row],[Qlty]],Lookups!$M$6:$P$20,4,FALSE)</f>
        <v>1.0051000000000001</v>
      </c>
      <c r="CO22">
        <f>VLOOKUP(Sales[[#This Row],[Cnd]],Lookups!$R$6:$U$15,4,FALSE)</f>
        <v>0.98370000000000002</v>
      </c>
      <c r="CP22">
        <f>VLOOKUP(Sales[[#This Row],[LivArea Range]],Lookups!$R$23:$U$39,4,FALSE)</f>
        <v>0.99099999999999999</v>
      </c>
      <c r="CQ22">
        <f>VLOOKUP(Sales[[#This Row],[Decade]],Lookups!$M$23:$P$35,4,FALSE)</f>
        <v>0.99060000000000004</v>
      </c>
      <c r="CR22">
        <f>Sales[[#This Row],[Nbhd Adj]]*0.95</f>
        <v>0.92691499999999993</v>
      </c>
      <c r="CS22">
        <f>Sales[[#This Row],[Nbhd Adj]]*Sales[[#This Row],[Quality Adj]]*Sales[[#This Row],[Condition Adj]]*Sales[[#This Row],[Living Area Adj]]*Sales[[#This Row],[Decade Adj]]*0.95</f>
        <v>0.89967123022071205</v>
      </c>
      <c r="CT22">
        <f>ROUND(SUM(Sales[[#This Row],[Mdl Qlty]:[Mdl GarageArea]])+Sales[[#This Row],[Mdl Res Intercept]]*Sales[[#This Row],[Res Adj ]],-2)</f>
        <v>662200</v>
      </c>
      <c r="CU22">
        <f>ROUND(Sales[[#This Row],[25Det]]*Sales[[#This Row],[Det/Nbhd Adj]],-2)</f>
        <v>0</v>
      </c>
      <c r="CV22">
        <f>Sales[[#This Row],[Adjusted Res]]+Sales[[#This Row],[Adj Det ]]</f>
        <v>662200</v>
      </c>
      <c r="CW22">
        <f>ROUND((Sales[[#This Row],[Mdl Land Intercept]]+Sales[[#This Row],[Mdl LnAcres]])*Sales[[#This Row],[Det/Nbhd Adj]],-2)</f>
        <v>-9900</v>
      </c>
      <c r="CX22">
        <f>Sales[[#This Row],[Adjusted Impr Total]]+Sales[[#This Row],[Adjusted Land Total]]</f>
        <v>652300</v>
      </c>
      <c r="CY22">
        <f>IFERROR((Sales[[#This Row],[Adjusted Impr Total]]-Sales[[#This Row],[24Bldg]])/Sales[[#This Row],[24Bldg]],0)</f>
        <v>0.16461484347520225</v>
      </c>
      <c r="CZ22">
        <f>(Sales[[#This Row],[Adjusted Land Total]]-Sales[[#This Row],[24Lnd]])/Sales[[#This Row],[24Lnd]]</f>
        <v>-1.165</v>
      </c>
      <c r="DA22">
        <f>(Sales[[#This Row],[Adjusted Total]]-Sales[[#This Row],[24Final]])/Sales[[#This Row],[24Final]]</f>
        <v>3.7702831689468662E-2</v>
      </c>
      <c r="DB22">
        <f>(Sales[[#This Row],[Adjusted Total]]+Sales[[#This Row],[Days Prior Total]])/Sales[[#This Row],[Price]]</f>
        <v>0.89366214490701001</v>
      </c>
    </row>
    <row r="23" spans="1:106" x14ac:dyDescent="0.3">
      <c r="A23">
        <v>2025</v>
      </c>
      <c r="B23" s="3">
        <v>18131533434</v>
      </c>
      <c r="C23">
        <v>-0.86750056770472306</v>
      </c>
      <c r="D23">
        <v>0.42</v>
      </c>
      <c r="E23">
        <v>18129</v>
      </c>
      <c r="F23">
        <v>5</v>
      </c>
      <c r="G23" t="s">
        <v>89</v>
      </c>
      <c r="H23">
        <v>3042</v>
      </c>
      <c r="I23" t="s">
        <v>302</v>
      </c>
      <c r="J23" t="s">
        <v>26</v>
      </c>
      <c r="K23">
        <v>11</v>
      </c>
      <c r="L23">
        <v>259</v>
      </c>
      <c r="M23" t="s">
        <v>131</v>
      </c>
      <c r="N23" t="s">
        <v>152</v>
      </c>
      <c r="O23" t="s">
        <v>207</v>
      </c>
      <c r="P23">
        <v>1920</v>
      </c>
      <c r="Q23">
        <v>1966</v>
      </c>
      <c r="R23">
        <v>100</v>
      </c>
      <c r="S23">
        <v>104</v>
      </c>
      <c r="T23">
        <v>58</v>
      </c>
      <c r="U23">
        <v>2</v>
      </c>
      <c r="V23">
        <v>1008</v>
      </c>
      <c r="W23">
        <v>336</v>
      </c>
      <c r="X23">
        <v>0</v>
      </c>
      <c r="Y23">
        <v>1008</v>
      </c>
      <c r="Z23">
        <v>300</v>
      </c>
      <c r="AA23">
        <v>708</v>
      </c>
      <c r="AB23">
        <v>1644</v>
      </c>
      <c r="AC23">
        <v>2000</v>
      </c>
      <c r="AD23">
        <v>0</v>
      </c>
      <c r="AF23" t="s">
        <v>154</v>
      </c>
      <c r="AG23" t="s">
        <v>133</v>
      </c>
      <c r="AH23" t="s">
        <v>51</v>
      </c>
      <c r="AI23">
        <v>0</v>
      </c>
      <c r="AJ23">
        <v>1</v>
      </c>
      <c r="AK23">
        <v>0</v>
      </c>
      <c r="AL23">
        <v>0</v>
      </c>
      <c r="AM23">
        <v>0</v>
      </c>
      <c r="AN23">
        <v>8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224</v>
      </c>
      <c r="AU23">
        <v>0</v>
      </c>
      <c r="AV23">
        <v>100</v>
      </c>
      <c r="AW23">
        <v>100</v>
      </c>
      <c r="AX23">
        <v>246789</v>
      </c>
      <c r="AY23">
        <v>177688</v>
      </c>
      <c r="AZ23">
        <v>879</v>
      </c>
      <c r="BA23">
        <v>365</v>
      </c>
      <c r="BB23">
        <v>365</v>
      </c>
      <c r="BC23">
        <v>149</v>
      </c>
      <c r="BD23" s="6">
        <v>44413</v>
      </c>
      <c r="BE23" t="s">
        <v>280</v>
      </c>
      <c r="BF23">
        <v>310000</v>
      </c>
      <c r="BG23">
        <v>298366</v>
      </c>
      <c r="BH23" t="s">
        <v>198</v>
      </c>
      <c r="BI23">
        <v>30</v>
      </c>
      <c r="BJ23" t="s">
        <v>51</v>
      </c>
      <c r="BK23" t="s">
        <v>314</v>
      </c>
      <c r="BL23">
        <v>348100</v>
      </c>
      <c r="BM23">
        <v>111300</v>
      </c>
      <c r="BN23">
        <v>236800</v>
      </c>
      <c r="BO23">
        <v>11634</v>
      </c>
      <c r="BP23">
        <v>1.1229032258064515</v>
      </c>
      <c r="BS23" s="7">
        <f t="shared" si="0"/>
        <v>-1</v>
      </c>
      <c r="BT23" s="14">
        <f>(Sales[[#This Row],[DP1]]*Lookups!$B$51)+(Sales[[#This Row],[DP2]]*Lookups!$B$52)+(Sales[[#This Row],[DP3]]*Lookups!$B$53)</f>
        <v>-42125.424456000008</v>
      </c>
      <c r="BU23" s="14">
        <f>Lookups!$B$48*0.5</f>
        <v>87214.824999999997</v>
      </c>
      <c r="BV23" s="14">
        <f>Lookups!$B$48*0.5</f>
        <v>87214.824999999997</v>
      </c>
      <c r="BW23" s="14">
        <f>Lookups!$B$49*Sales[[#This Row],[LnAcres]]</f>
        <v>-30981.328749357657</v>
      </c>
      <c r="BX23" s="14">
        <f>VLOOKUP(Sales[[#This Row],[Qlty]],Lookups!$A$54:$E$67,2,FALSE)</f>
        <v>46722.525125</v>
      </c>
      <c r="BY23" s="14">
        <f>VLOOKUP(Sales[[#This Row],[Cnd]],Lookups!$A$68:$E$76,2,FALSE)</f>
        <v>106557.38887</v>
      </c>
      <c r="BZ23" s="14">
        <f>Sales[[#This Row],[Age]]*Lookups!$B$77</f>
        <v>1476.09944</v>
      </c>
      <c r="CA23" s="14">
        <f>Sales[[#This Row],[MainFn]]*Lookups!$B$78</f>
        <v>178235.32422000001</v>
      </c>
      <c r="CB23" s="14">
        <f>Sales[[#This Row],[UpprFn]]*Lookups!$B$79</f>
        <v>0</v>
      </c>
      <c r="CC23" s="14">
        <f>Sales[[#This Row],[AddFn]]*Lookups!$B$80</f>
        <v>0</v>
      </c>
      <c r="CD23" s="14">
        <f>Sales[[#This Row],[Bsmt]]*Lookups!$B$81</f>
        <v>0</v>
      </c>
      <c r="CE23" s="14">
        <f>Sales[[#This Row],[Fixtures]]*Lookups!$B$84</f>
        <v>172636.7</v>
      </c>
      <c r="CF23" s="14">
        <f>SUM(Sales[[#This Row],[Days Prior Total]:[Mdl Fixtures]])</f>
        <v>606950.93444964231</v>
      </c>
      <c r="CG23" s="14">
        <f>ROUND(Sales[[#This Row],[25Det]],-2)</f>
        <v>44500</v>
      </c>
      <c r="CH23" s="14">
        <f>ROUND(SUM(Sales[[#This Row],[Mdl LnAcres]:[Mdl Fixtures]])+Sales[[#This Row],[Mdl Res Intercept]]+Sales[[#This Row],[Days Prior Total]],-2)</f>
        <v>519700</v>
      </c>
      <c r="CI23" s="14">
        <f>ROUND(Sales[[#This Row],[Mdl Land Intercept]]+Sales[[#This Row],[Mdl LnAcres]],-2)</f>
        <v>56200</v>
      </c>
      <c r="CJ23" s="14">
        <f>Sales[[#This Row],[Unadj Res Value]]+Sales[[#This Row],[Unadj Det Value]]+Sales[[#This Row],[Unadj Land Value]]</f>
        <v>730000</v>
      </c>
      <c r="CK23" s="15">
        <f>Sales[[#This Row],[Unadj Total Value]]/Sales[[#This Row],[Price]]</f>
        <v>1.028169014084507</v>
      </c>
      <c r="CL23" s="15">
        <f>(Sales[[#This Row],[Unadj Total Value]]-Sales[[#This Row],[24Final]])/Sales[[#This Row],[24Final]]</f>
        <v>0.11946020548995553</v>
      </c>
      <c r="CM23">
        <f>VLOOKUP(Sales[[#This Row],[TNbhd]],Lookups!$M$2:$P$4,4,FALSE)</f>
        <v>0.97570000000000001</v>
      </c>
      <c r="CN23">
        <f>VLOOKUP(Sales[[#This Row],[Qlty]],Lookups!$M$6:$P$20,4,FALSE)</f>
        <v>0.98329999999999995</v>
      </c>
      <c r="CO23">
        <f>VLOOKUP(Sales[[#This Row],[Cnd]],Lookups!$R$6:$U$15,4,FALSE)</f>
        <v>0.9748</v>
      </c>
      <c r="CP23">
        <f>VLOOKUP(Sales[[#This Row],[LivArea Range]],Lookups!$R$23:$U$39,4,FALSE)</f>
        <v>0.93310000000000004</v>
      </c>
      <c r="CQ23">
        <f>VLOOKUP(Sales[[#This Row],[Decade]],Lookups!$M$23:$P$35,4,FALSE)</f>
        <v>0.99060000000000004</v>
      </c>
      <c r="CR23">
        <f>Sales[[#This Row],[Nbhd Adj]]*0.95</f>
        <v>0.92691499999999993</v>
      </c>
      <c r="CS23">
        <f>Sales[[#This Row],[Nbhd Adj]]*Sales[[#This Row],[Quality Adj]]*Sales[[#This Row],[Condition Adj]]*Sales[[#This Row],[Living Area Adj]]*Sales[[#This Row],[Decade Adj]]*0.95</f>
        <v>0.8212360076044285</v>
      </c>
      <c r="CT23">
        <f>ROUND(SUM(Sales[[#This Row],[Mdl Qlty]:[Mdl GarageArea]])+Sales[[#This Row],[Mdl Res Intercept]]*Sales[[#This Row],[Res Adj ]],-2)</f>
        <v>655800</v>
      </c>
      <c r="CU23">
        <f>ROUND(Sales[[#This Row],[25Det]]*Sales[[#This Row],[Det/Nbhd Adj]],-2)</f>
        <v>41300</v>
      </c>
      <c r="CV23">
        <f>Sales[[#This Row],[Adjusted Res]]+Sales[[#This Row],[Adj Det ]]</f>
        <v>697100</v>
      </c>
      <c r="CW23">
        <f>ROUND((Sales[[#This Row],[Mdl Land Intercept]]+Sales[[#This Row],[Mdl LnAcres]])*Sales[[#This Row],[Det/Nbhd Adj]],-2)</f>
        <v>52100</v>
      </c>
      <c r="CX23">
        <f>Sales[[#This Row],[Adjusted Impr Total]]+Sales[[#This Row],[Adjusted Land Total]]</f>
        <v>749200</v>
      </c>
      <c r="CY23">
        <f>IFERROR((Sales[[#This Row],[Adjusted Impr Total]]-Sales[[#This Row],[24Bldg]])/Sales[[#This Row],[24Bldg]],0)</f>
        <v>0.24061220857803881</v>
      </c>
      <c r="CZ23">
        <f>(Sales[[#This Row],[Adjusted Land Total]]-Sales[[#This Row],[24Lnd]])/Sales[[#This Row],[24Lnd]]</f>
        <v>-0.42239467849223949</v>
      </c>
      <c r="DA23">
        <f>(Sales[[#This Row],[Adjusted Total]]-Sales[[#This Row],[24Final]])/Sales[[#This Row],[24Final]]</f>
        <v>0.14890354240147216</v>
      </c>
      <c r="DB23">
        <f>(Sales[[#This Row],[Adjusted Total]]+Sales[[#This Row],[Days Prior Total]])/Sales[[#This Row],[Price]]</f>
        <v>0.99587968386478876</v>
      </c>
    </row>
    <row r="24" spans="1:106" x14ac:dyDescent="0.3">
      <c r="A24">
        <v>2025</v>
      </c>
      <c r="B24" s="3">
        <v>18131644585</v>
      </c>
      <c r="C24">
        <v>-1.6607312068216509</v>
      </c>
      <c r="D24">
        <v>0.19</v>
      </c>
      <c r="E24">
        <v>8400</v>
      </c>
      <c r="F24">
        <v>5</v>
      </c>
      <c r="G24" t="s">
        <v>89</v>
      </c>
      <c r="H24">
        <v>3042</v>
      </c>
      <c r="I24" t="s">
        <v>302</v>
      </c>
      <c r="J24" t="s">
        <v>26</v>
      </c>
      <c r="K24">
        <v>11</v>
      </c>
      <c r="L24">
        <v>259</v>
      </c>
      <c r="M24" t="s">
        <v>172</v>
      </c>
      <c r="N24" t="s">
        <v>152</v>
      </c>
      <c r="O24" t="s">
        <v>207</v>
      </c>
      <c r="P24">
        <v>1960</v>
      </c>
      <c r="Q24">
        <v>1975</v>
      </c>
      <c r="R24">
        <v>60</v>
      </c>
      <c r="S24">
        <v>64</v>
      </c>
      <c r="T24">
        <v>49</v>
      </c>
      <c r="U24">
        <v>1</v>
      </c>
      <c r="V24">
        <v>1400</v>
      </c>
      <c r="W24">
        <v>0</v>
      </c>
      <c r="X24">
        <v>0</v>
      </c>
      <c r="Y24">
        <v>0</v>
      </c>
      <c r="Z24">
        <v>0</v>
      </c>
      <c r="AA24">
        <v>0</v>
      </c>
      <c r="AB24">
        <v>1400</v>
      </c>
      <c r="AC24">
        <v>1500</v>
      </c>
      <c r="AD24">
        <v>0</v>
      </c>
      <c r="AF24" t="s">
        <v>276</v>
      </c>
      <c r="AG24" t="s">
        <v>274</v>
      </c>
      <c r="AH24" t="s">
        <v>51</v>
      </c>
      <c r="AI24">
        <v>0</v>
      </c>
      <c r="AJ24">
        <v>1</v>
      </c>
      <c r="AK24">
        <v>0</v>
      </c>
      <c r="AL24">
        <v>0</v>
      </c>
      <c r="AM24">
        <v>0</v>
      </c>
      <c r="AN24">
        <v>5</v>
      </c>
      <c r="AO24">
        <v>0</v>
      </c>
      <c r="AP24">
        <v>0</v>
      </c>
      <c r="AQ24">
        <v>0</v>
      </c>
      <c r="AR24">
        <v>441</v>
      </c>
      <c r="AS24">
        <v>0</v>
      </c>
      <c r="AT24">
        <v>100</v>
      </c>
      <c r="AU24">
        <v>105</v>
      </c>
      <c r="AV24">
        <v>100</v>
      </c>
      <c r="AW24">
        <v>100</v>
      </c>
      <c r="AX24">
        <v>188880</v>
      </c>
      <c r="AY24">
        <v>149215</v>
      </c>
      <c r="AZ24">
        <v>304</v>
      </c>
      <c r="BA24">
        <v>304</v>
      </c>
      <c r="BB24">
        <v>0</v>
      </c>
      <c r="BC24">
        <v>0</v>
      </c>
      <c r="BD24" s="6">
        <v>44988</v>
      </c>
      <c r="BE24" t="s">
        <v>30</v>
      </c>
      <c r="BF24">
        <v>300000</v>
      </c>
      <c r="BG24">
        <v>300000</v>
      </c>
      <c r="BH24" t="s">
        <v>198</v>
      </c>
      <c r="BI24">
        <v>30</v>
      </c>
      <c r="BJ24" t="s">
        <v>51</v>
      </c>
      <c r="BK24" t="s">
        <v>314</v>
      </c>
      <c r="BL24">
        <v>280500</v>
      </c>
      <c r="BM24">
        <v>66200</v>
      </c>
      <c r="BN24">
        <v>214300</v>
      </c>
      <c r="BO24">
        <v>0</v>
      </c>
      <c r="BP24">
        <v>0.93500000000000005</v>
      </c>
      <c r="BS24" s="7">
        <f t="shared" si="0"/>
        <v>-1</v>
      </c>
      <c r="BT24" s="14">
        <f>(Sales[[#This Row],[DP1]]*Lookups!$B$51)+(Sales[[#This Row],[DP2]]*Lookups!$B$52)+(Sales[[#This Row],[DP3]]*Lookups!$B$53)</f>
        <v>-117428.68671000001</v>
      </c>
      <c r="BU24" s="14">
        <f>Lookups!$B$48*0.5</f>
        <v>87214.824999999997</v>
      </c>
      <c r="BV24" s="14">
        <f>Lookups!$B$48*0.5</f>
        <v>87214.824999999997</v>
      </c>
      <c r="BW24" s="14">
        <f>Lookups!$B$49*Sales[[#This Row],[LnAcres]]</f>
        <v>-28517.585766758784</v>
      </c>
      <c r="BX24" s="14">
        <f>VLOOKUP(Sales[[#This Row],[Qlty]],Lookups!$A$54:$E$67,2,FALSE)</f>
        <v>46722.525125</v>
      </c>
      <c r="BY24" s="14">
        <f>VLOOKUP(Sales[[#This Row],[Cnd]],Lookups!$A$68:$E$76,2,FALSE)</f>
        <v>106557.38887</v>
      </c>
      <c r="BZ24" s="14">
        <f>Sales[[#This Row],[Age]]*Lookups!$B$77</f>
        <v>1476.09944</v>
      </c>
      <c r="CA24" s="14">
        <f>Sales[[#This Row],[MainFn]]*Lookups!$B$78</f>
        <v>138166.91800000001</v>
      </c>
      <c r="CB24" s="14">
        <f>Sales[[#This Row],[UpprFn]]*Lookups!$B$79</f>
        <v>54882.204975000001</v>
      </c>
      <c r="CC24" s="14">
        <f>Sales[[#This Row],[AddFn]]*Lookups!$B$80</f>
        <v>0</v>
      </c>
      <c r="CD24" s="14">
        <f>Sales[[#This Row],[Bsmt]]*Lookups!$B$81</f>
        <v>0</v>
      </c>
      <c r="CE24" s="14">
        <f>Sales[[#This Row],[Fixtures]]*Lookups!$B$84</f>
        <v>172636.7</v>
      </c>
      <c r="CF24" s="14">
        <f>SUM(Sales[[#This Row],[Days Prior Total]:[Mdl Fixtures]])</f>
        <v>548925.2139332412</v>
      </c>
      <c r="CG24" s="14">
        <f>ROUND(Sales[[#This Row],[25Det]],-2)</f>
        <v>0</v>
      </c>
      <c r="CH24" s="14">
        <f>ROUND(SUM(Sales[[#This Row],[Mdl LnAcres]:[Mdl Fixtures]])+Sales[[#This Row],[Mdl Res Intercept]]+Sales[[#This Row],[Days Prior Total]],-2)</f>
        <v>461700</v>
      </c>
      <c r="CI24" s="14">
        <f>ROUND(Sales[[#This Row],[Mdl Land Intercept]]+Sales[[#This Row],[Mdl LnAcres]],-2)</f>
        <v>58700</v>
      </c>
      <c r="CJ24" s="14">
        <f>Sales[[#This Row],[Unadj Res Value]]+Sales[[#This Row],[Unadj Det Value]]+Sales[[#This Row],[Unadj Land Value]]</f>
        <v>639700</v>
      </c>
      <c r="CK24" s="15">
        <f>Sales[[#This Row],[Unadj Total Value]]/Sales[[#This Row],[Price]]</f>
        <v>1.1086655112651647</v>
      </c>
      <c r="CL24" s="15">
        <f>(Sales[[#This Row],[Unadj Total Value]]-Sales[[#This Row],[24Final]])/Sales[[#This Row],[24Final]]</f>
        <v>-5.1321928460342147E-3</v>
      </c>
      <c r="CM24">
        <f>VLOOKUP(Sales[[#This Row],[TNbhd]],Lookups!$M$2:$P$4,4,FALSE)</f>
        <v>0.97570000000000001</v>
      </c>
      <c r="CN24">
        <f>VLOOKUP(Sales[[#This Row],[Qlty]],Lookups!$M$6:$P$20,4,FALSE)</f>
        <v>0.98329999999999995</v>
      </c>
      <c r="CO24">
        <f>VLOOKUP(Sales[[#This Row],[Cnd]],Lookups!$R$6:$U$15,4,FALSE)</f>
        <v>0.9748</v>
      </c>
      <c r="CP24">
        <f>VLOOKUP(Sales[[#This Row],[LivArea Range]],Lookups!$R$23:$U$39,4,FALSE)</f>
        <v>0.93310000000000004</v>
      </c>
      <c r="CQ24">
        <f>VLOOKUP(Sales[[#This Row],[Decade]],Lookups!$M$23:$P$35,4,FALSE)</f>
        <v>0.99060000000000004</v>
      </c>
      <c r="CR24">
        <f>Sales[[#This Row],[Nbhd Adj]]*0.95</f>
        <v>0.92691499999999993</v>
      </c>
      <c r="CS24">
        <f>Sales[[#This Row],[Nbhd Adj]]*Sales[[#This Row],[Quality Adj]]*Sales[[#This Row],[Condition Adj]]*Sales[[#This Row],[Living Area Adj]]*Sales[[#This Row],[Decade Adj]]*0.95</f>
        <v>0.8212360076044285</v>
      </c>
      <c r="CT24">
        <f>ROUND(SUM(Sales[[#This Row],[Mdl Qlty]:[Mdl GarageArea]])+Sales[[#This Row],[Mdl Res Intercept]]*Sales[[#This Row],[Res Adj ]],-2)</f>
        <v>682800</v>
      </c>
      <c r="CU24">
        <f>ROUND(Sales[[#This Row],[25Det]]*Sales[[#This Row],[Det/Nbhd Adj]],-2)</f>
        <v>0</v>
      </c>
      <c r="CV24">
        <f>Sales[[#This Row],[Adjusted Res]]+Sales[[#This Row],[Adj Det ]]</f>
        <v>682800</v>
      </c>
      <c r="CW24">
        <f>ROUND((Sales[[#This Row],[Mdl Land Intercept]]+Sales[[#This Row],[Mdl LnAcres]])*Sales[[#This Row],[Det/Nbhd Adj]],-2)</f>
        <v>54400</v>
      </c>
      <c r="CX24">
        <f>Sales[[#This Row],[Adjusted Impr Total]]+Sales[[#This Row],[Adjusted Land Total]]</f>
        <v>737200</v>
      </c>
      <c r="CY24">
        <f>IFERROR((Sales[[#This Row],[Adjusted Impr Total]]-Sales[[#This Row],[24Bldg]])/Sales[[#This Row],[24Bldg]],0)</f>
        <v>0.24780701754385964</v>
      </c>
      <c r="CZ24">
        <f>(Sales[[#This Row],[Adjusted Land Total]]-Sales[[#This Row],[24Lnd]])/Sales[[#This Row],[24Lnd]]</f>
        <v>-0.43215031315240082</v>
      </c>
      <c r="DA24">
        <f>(Sales[[#This Row],[Adjusted Total]]-Sales[[#This Row],[24Final]])/Sales[[#This Row],[24Final]]</f>
        <v>0.14650077760497668</v>
      </c>
      <c r="DB24">
        <f>(Sales[[#This Row],[Adjusted Total]]+Sales[[#This Row],[Days Prior Total]])/Sales[[#This Row],[Price]]</f>
        <v>1.0741270594280763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F0D2B-C26B-47E4-8E34-B50ABBB54446}">
  <dimension ref="A1:P204"/>
  <sheetViews>
    <sheetView tabSelected="1" workbookViewId="0">
      <selection activeCell="J41" sqref="J41"/>
    </sheetView>
  </sheetViews>
  <sheetFormatPr defaultRowHeight="14.4" x14ac:dyDescent="0.3"/>
  <cols>
    <col min="1" max="1" width="5.88671875" style="23" customWidth="1"/>
    <col min="2" max="2" width="2.109375" style="23" customWidth="1"/>
    <col min="3" max="3" width="16.88671875" style="23" customWidth="1"/>
    <col min="4" max="4" width="11.5546875" style="23" bestFit="1" customWidth="1"/>
    <col min="5" max="5" width="16.33203125" style="23" bestFit="1" customWidth="1"/>
    <col min="6" max="6" width="7.88671875" style="23" customWidth="1"/>
    <col min="7" max="7" width="11.109375" style="23" customWidth="1"/>
    <col min="8" max="8" width="9.44140625" style="23" customWidth="1"/>
    <col min="9" max="9" width="8.88671875" style="23"/>
    <col min="10" max="10" width="12" style="23" bestFit="1" customWidth="1"/>
    <col min="11" max="11" width="10.6640625" style="23" bestFit="1" customWidth="1"/>
    <col min="12" max="12" width="11" style="23" bestFit="1" customWidth="1"/>
    <col min="13" max="13" width="12" style="23" bestFit="1" customWidth="1"/>
    <col min="14" max="14" width="12.5546875" style="23" customWidth="1"/>
    <col min="15" max="15" width="10.5546875" style="23" bestFit="1" customWidth="1"/>
    <col min="16" max="16" width="11.109375" style="23" customWidth="1"/>
    <col min="17" max="16384" width="8.88671875" style="23"/>
  </cols>
  <sheetData>
    <row r="1" spans="1:16" x14ac:dyDescent="0.3">
      <c r="A1" s="23" t="s">
        <v>389</v>
      </c>
      <c r="D1" s="23">
        <f>+D2/2</f>
        <v>95.5</v>
      </c>
      <c r="E1" s="45"/>
    </row>
    <row r="2" spans="1:16" x14ac:dyDescent="0.3">
      <c r="A2" s="46" t="s">
        <v>390</v>
      </c>
      <c r="B2" s="46"/>
      <c r="D2" s="47">
        <f>COUNT(A14:A1419)</f>
        <v>191</v>
      </c>
      <c r="E2" s="23" t="s">
        <v>391</v>
      </c>
      <c r="F2" s="24">
        <f>MEDIAN(F14:F1419)</f>
        <v>1.0128161888701517</v>
      </c>
      <c r="G2" s="27" t="s">
        <v>392</v>
      </c>
      <c r="I2" s="27"/>
      <c r="J2" s="27"/>
    </row>
    <row r="3" spans="1:16" x14ac:dyDescent="0.3">
      <c r="A3" s="46" t="s">
        <v>393</v>
      </c>
      <c r="B3" s="46"/>
      <c r="D3" s="48">
        <f>SUM(H14:H1419)</f>
        <v>112690839</v>
      </c>
      <c r="E3" s="23" t="s">
        <v>394</v>
      </c>
      <c r="F3" s="24">
        <f>SUM(F14:F1419)/D2</f>
        <v>1.0248793092710067</v>
      </c>
      <c r="G3" s="27" t="s">
        <v>395</v>
      </c>
      <c r="I3" s="27"/>
      <c r="J3" s="27"/>
    </row>
    <row r="4" spans="1:16" x14ac:dyDescent="0.3">
      <c r="A4" s="46" t="s">
        <v>396</v>
      </c>
      <c r="B4" s="46"/>
      <c r="D4" s="48">
        <f>SUM(E14:E1419)</f>
        <v>113150300</v>
      </c>
      <c r="E4" s="23" t="s">
        <v>397</v>
      </c>
      <c r="F4" s="24">
        <f>+D4/D3</f>
        <v>1.004077181464591</v>
      </c>
      <c r="G4" s="27" t="s">
        <v>398</v>
      </c>
      <c r="I4" s="27"/>
      <c r="J4" s="27"/>
    </row>
    <row r="5" spans="1:16" x14ac:dyDescent="0.3">
      <c r="A5" s="46" t="s">
        <v>399</v>
      </c>
      <c r="B5" s="46"/>
      <c r="D5" s="48">
        <f>SUM(F14:F1419)</f>
        <v>195.75194807076227</v>
      </c>
      <c r="G5" s="27"/>
      <c r="I5" s="27"/>
      <c r="J5" s="27"/>
    </row>
    <row r="6" spans="1:16" x14ac:dyDescent="0.3">
      <c r="A6" s="46" t="s">
        <v>400</v>
      </c>
      <c r="B6" s="46"/>
      <c r="D6" s="49">
        <f>+D3/D2</f>
        <v>590004.39267015702</v>
      </c>
      <c r="E6" s="23" t="s">
        <v>401</v>
      </c>
      <c r="F6" s="25">
        <f>(SUM(N14:N1419)/D2/F2)*100</f>
        <v>10.163641225047391</v>
      </c>
      <c r="G6" s="27" t="s">
        <v>402</v>
      </c>
      <c r="I6" s="27"/>
      <c r="J6" s="27"/>
    </row>
    <row r="7" spans="1:16" x14ac:dyDescent="0.3">
      <c r="A7" s="46" t="s">
        <v>403</v>
      </c>
      <c r="B7" s="46"/>
      <c r="D7" s="49">
        <f>+D4/D2</f>
        <v>592409.9476439791</v>
      </c>
      <c r="E7" s="23" t="s">
        <v>404</v>
      </c>
      <c r="F7" s="26">
        <f>(SQRT(SUM(P14:P1419)/(D2-1))/F3)*100</f>
        <v>12.960380747505965</v>
      </c>
      <c r="G7" s="50" t="s">
        <v>405</v>
      </c>
    </row>
    <row r="8" spans="1:16" x14ac:dyDescent="0.3">
      <c r="A8" s="46" t="s">
        <v>406</v>
      </c>
      <c r="B8" s="46"/>
      <c r="C8" s="51"/>
      <c r="D8" s="23">
        <v>0.95497699999999996</v>
      </c>
      <c r="E8" s="23" t="s">
        <v>106</v>
      </c>
      <c r="F8" s="26">
        <f>+F3/F4</f>
        <v>1.020717658154598</v>
      </c>
      <c r="G8" s="27" t="s">
        <v>407</v>
      </c>
      <c r="I8" s="27"/>
      <c r="J8" s="27"/>
    </row>
    <row r="9" spans="1:16" x14ac:dyDescent="0.3">
      <c r="A9" s="46" t="s">
        <v>408</v>
      </c>
      <c r="B9" s="46"/>
      <c r="C9" s="51"/>
      <c r="E9" s="23" t="s">
        <v>409</v>
      </c>
      <c r="F9" s="26">
        <f>SQRT((SUM(P14:P1419))/(D2-1))*100</f>
        <v>13.282826068393167</v>
      </c>
      <c r="G9" s="27" t="s">
        <v>410</v>
      </c>
      <c r="I9" s="27"/>
      <c r="J9" s="27"/>
    </row>
    <row r="10" spans="1:16" x14ac:dyDescent="0.3">
      <c r="A10" s="52" t="s">
        <v>411</v>
      </c>
      <c r="B10" s="52"/>
      <c r="C10" s="51"/>
      <c r="D10" s="53" t="e">
        <f>D2/D9</f>
        <v>#DIV/0!</v>
      </c>
      <c r="E10" s="45" t="s">
        <v>412</v>
      </c>
      <c r="F10" s="23">
        <f>SQRT(SUM(J14:J1419)/(D2))</f>
        <v>82181.381042912748</v>
      </c>
      <c r="G10" s="27"/>
    </row>
    <row r="12" spans="1:16" ht="15" thickBot="1" x14ac:dyDescent="0.35">
      <c r="I12" s="28"/>
      <c r="J12" s="28"/>
      <c r="K12" s="28"/>
      <c r="L12" s="28"/>
      <c r="M12" s="28"/>
      <c r="N12" s="27"/>
    </row>
    <row r="13" spans="1:16" ht="51" customHeight="1" thickBot="1" x14ac:dyDescent="0.35">
      <c r="A13" s="54" t="s">
        <v>413</v>
      </c>
      <c r="B13" s="54"/>
      <c r="C13" s="29" t="s">
        <v>294</v>
      </c>
      <c r="D13" s="29" t="s">
        <v>414</v>
      </c>
      <c r="E13" s="30" t="s">
        <v>415</v>
      </c>
      <c r="F13" s="31" t="s">
        <v>187</v>
      </c>
      <c r="G13" s="29" t="s">
        <v>272</v>
      </c>
      <c r="H13" s="32" t="s">
        <v>301</v>
      </c>
      <c r="I13" s="33" t="s">
        <v>416</v>
      </c>
      <c r="J13" s="34" t="s">
        <v>417</v>
      </c>
      <c r="K13" s="33" t="s">
        <v>418</v>
      </c>
      <c r="L13" s="35" t="s">
        <v>419</v>
      </c>
      <c r="M13" s="34" t="s">
        <v>417</v>
      </c>
      <c r="N13" s="36" t="s">
        <v>420</v>
      </c>
      <c r="O13" s="37" t="s">
        <v>421</v>
      </c>
      <c r="P13" s="38" t="s">
        <v>422</v>
      </c>
    </row>
    <row r="14" spans="1:16" x14ac:dyDescent="0.3">
      <c r="A14" s="23">
        <v>1</v>
      </c>
      <c r="C14" s="40">
        <v>18131533026</v>
      </c>
      <c r="D14" s="39" t="s">
        <v>302</v>
      </c>
      <c r="E14" s="40">
        <v>296400</v>
      </c>
      <c r="F14" s="55">
        <v>0.92625000000000002</v>
      </c>
      <c r="G14" s="56">
        <v>44936</v>
      </c>
      <c r="H14" s="40">
        <v>320000</v>
      </c>
      <c r="I14" s="57">
        <f t="shared" ref="I14:I45" si="0">+H14-E14</f>
        <v>23600</v>
      </c>
      <c r="J14" s="58">
        <f t="shared" ref="J14:J45" si="1">+I14^2</f>
        <v>556960000</v>
      </c>
      <c r="K14" s="57">
        <f t="shared" ref="K14:K45" si="2">AVERAGE($H$14:$H$1419)</f>
        <v>590004.39267015702</v>
      </c>
      <c r="L14" s="57">
        <f t="shared" ref="L14:L45" si="3">+H14-K14</f>
        <v>-270004.39267015702</v>
      </c>
      <c r="M14" s="58">
        <f t="shared" ref="M14:M45" si="4">+L14^2</f>
        <v>72902372061.180344</v>
      </c>
      <c r="N14" s="59">
        <f t="shared" ref="N14:N45" si="5">ABS(+$F$2-F14)</f>
        <v>8.6566188870151661E-2</v>
      </c>
      <c r="O14" s="26">
        <f t="shared" ref="O14:O45" si="6">+$F$3-F14</f>
        <v>9.862930927100666E-2</v>
      </c>
      <c r="P14" s="26">
        <f t="shared" ref="P14:P45" si="7">+O14*O14</f>
        <v>9.7277406472758808E-3</v>
      </c>
    </row>
    <row r="15" spans="1:16" x14ac:dyDescent="0.3">
      <c r="A15" s="23">
        <f t="shared" ref="A15:A46" si="8">+A14+1</f>
        <v>2</v>
      </c>
      <c r="C15" s="40">
        <v>18131534012</v>
      </c>
      <c r="D15" s="39" t="s">
        <v>302</v>
      </c>
      <c r="E15" s="40">
        <v>440700</v>
      </c>
      <c r="F15" s="55">
        <v>1.1417098445595855</v>
      </c>
      <c r="G15" s="56">
        <v>45217</v>
      </c>
      <c r="H15" s="40">
        <v>386000</v>
      </c>
      <c r="I15" s="57">
        <f t="shared" si="0"/>
        <v>-54700</v>
      </c>
      <c r="J15" s="58">
        <f t="shared" si="1"/>
        <v>2992090000</v>
      </c>
      <c r="K15" s="57">
        <f t="shared" si="2"/>
        <v>590004.39267015702</v>
      </c>
      <c r="L15" s="57">
        <f t="shared" si="3"/>
        <v>-204004.39267015702</v>
      </c>
      <c r="M15" s="58">
        <f t="shared" si="4"/>
        <v>41617792228.719612</v>
      </c>
      <c r="N15" s="59">
        <f t="shared" si="5"/>
        <v>0.12889365568943378</v>
      </c>
      <c r="O15" s="26">
        <f t="shared" si="6"/>
        <v>-0.11683053528857879</v>
      </c>
      <c r="P15" s="26">
        <f t="shared" si="7"/>
        <v>1.3649373975815853E-2</v>
      </c>
    </row>
    <row r="16" spans="1:16" x14ac:dyDescent="0.3">
      <c r="A16" s="23">
        <f t="shared" si="8"/>
        <v>3</v>
      </c>
      <c r="C16" s="40">
        <v>18131644498</v>
      </c>
      <c r="D16" s="41" t="s">
        <v>302</v>
      </c>
      <c r="E16" s="40">
        <v>231200</v>
      </c>
      <c r="F16" s="55">
        <v>0.85629629629629633</v>
      </c>
      <c r="G16" s="60">
        <v>44384</v>
      </c>
      <c r="H16" s="40">
        <v>270000</v>
      </c>
      <c r="I16" s="57">
        <f t="shared" si="0"/>
        <v>38800</v>
      </c>
      <c r="J16" s="58">
        <f t="shared" si="1"/>
        <v>1505440000</v>
      </c>
      <c r="K16" s="57">
        <f t="shared" si="2"/>
        <v>590004.39267015702</v>
      </c>
      <c r="L16" s="57">
        <f t="shared" si="3"/>
        <v>-320004.39267015702</v>
      </c>
      <c r="M16" s="58">
        <f t="shared" si="4"/>
        <v>102402811328.19604</v>
      </c>
      <c r="N16" s="59">
        <f t="shared" si="5"/>
        <v>0.15651989257385535</v>
      </c>
      <c r="O16" s="26">
        <f t="shared" si="6"/>
        <v>0.16858301297471034</v>
      </c>
      <c r="P16" s="26">
        <f t="shared" si="7"/>
        <v>2.8420232263631356E-2</v>
      </c>
    </row>
    <row r="17" spans="1:16" x14ac:dyDescent="0.3">
      <c r="A17" s="23">
        <f t="shared" si="8"/>
        <v>4</v>
      </c>
      <c r="C17" s="40">
        <v>18131744404</v>
      </c>
      <c r="D17" s="39" t="s">
        <v>302</v>
      </c>
      <c r="E17" s="40">
        <v>274100</v>
      </c>
      <c r="F17" s="55">
        <v>0.91366666666666663</v>
      </c>
      <c r="G17" s="56">
        <v>44207</v>
      </c>
      <c r="H17" s="40">
        <v>300000</v>
      </c>
      <c r="I17" s="57">
        <f t="shared" si="0"/>
        <v>25900</v>
      </c>
      <c r="J17" s="58">
        <f t="shared" si="1"/>
        <v>670810000</v>
      </c>
      <c r="K17" s="57">
        <f t="shared" si="2"/>
        <v>590004.39267015702</v>
      </c>
      <c r="L17" s="57">
        <f t="shared" si="3"/>
        <v>-290004.39267015702</v>
      </c>
      <c r="M17" s="58">
        <f t="shared" si="4"/>
        <v>84102547767.986618</v>
      </c>
      <c r="N17" s="59">
        <f t="shared" si="5"/>
        <v>9.9149522203485052E-2</v>
      </c>
      <c r="O17" s="26">
        <f t="shared" si="6"/>
        <v>0.11121264260434005</v>
      </c>
      <c r="P17" s="26">
        <f t="shared" si="7"/>
        <v>1.2368251875040672E-2</v>
      </c>
    </row>
    <row r="18" spans="1:16" x14ac:dyDescent="0.3">
      <c r="A18" s="23">
        <f t="shared" si="8"/>
        <v>5</v>
      </c>
      <c r="C18" s="40">
        <v>18131533418</v>
      </c>
      <c r="D18" s="41" t="s">
        <v>302</v>
      </c>
      <c r="E18" s="40">
        <v>282200</v>
      </c>
      <c r="F18" s="55">
        <v>0.97310344827586204</v>
      </c>
      <c r="G18" s="60">
        <v>44865</v>
      </c>
      <c r="H18" s="40">
        <v>290000</v>
      </c>
      <c r="I18" s="57">
        <f t="shared" si="0"/>
        <v>7800</v>
      </c>
      <c r="J18" s="58">
        <f t="shared" si="1"/>
        <v>60840000</v>
      </c>
      <c r="K18" s="57">
        <f t="shared" si="2"/>
        <v>590004.39267015702</v>
      </c>
      <c r="L18" s="57">
        <f t="shared" si="3"/>
        <v>-300004.39267015702</v>
      </c>
      <c r="M18" s="58">
        <f t="shared" si="4"/>
        <v>90002635621.389755</v>
      </c>
      <c r="N18" s="59">
        <f t="shared" si="5"/>
        <v>3.9712740594289642E-2</v>
      </c>
      <c r="O18" s="26">
        <f t="shared" si="6"/>
        <v>5.177586099514464E-2</v>
      </c>
      <c r="P18" s="26">
        <f t="shared" si="7"/>
        <v>2.6807397817885403E-3</v>
      </c>
    </row>
    <row r="19" spans="1:16" x14ac:dyDescent="0.3">
      <c r="A19" s="23">
        <f t="shared" si="8"/>
        <v>6</v>
      </c>
      <c r="C19" s="40">
        <v>18131641445</v>
      </c>
      <c r="D19" s="41" t="s">
        <v>302</v>
      </c>
      <c r="E19" s="40">
        <v>336100</v>
      </c>
      <c r="F19" s="55">
        <v>0.84447236180904528</v>
      </c>
      <c r="G19" s="56">
        <v>44929</v>
      </c>
      <c r="H19" s="40">
        <v>398000</v>
      </c>
      <c r="I19" s="57">
        <f t="shared" si="0"/>
        <v>61900</v>
      </c>
      <c r="J19" s="58">
        <f t="shared" si="1"/>
        <v>3831610000</v>
      </c>
      <c r="K19" s="57">
        <f t="shared" si="2"/>
        <v>590004.39267015702</v>
      </c>
      <c r="L19" s="57">
        <f t="shared" si="3"/>
        <v>-192004.39267015702</v>
      </c>
      <c r="M19" s="58">
        <f t="shared" si="4"/>
        <v>36865686804.635849</v>
      </c>
      <c r="N19" s="59">
        <f t="shared" si="5"/>
        <v>0.1683438270611064</v>
      </c>
      <c r="O19" s="26">
        <f t="shared" si="6"/>
        <v>0.1804069474619614</v>
      </c>
      <c r="P19" s="26">
        <f t="shared" si="7"/>
        <v>3.25466666925429E-2</v>
      </c>
    </row>
    <row r="20" spans="1:16" x14ac:dyDescent="0.3">
      <c r="A20" s="23">
        <f t="shared" si="8"/>
        <v>7</v>
      </c>
      <c r="C20" s="40">
        <v>18131644470</v>
      </c>
      <c r="D20" s="39" t="s">
        <v>302</v>
      </c>
      <c r="E20" s="40">
        <v>307100</v>
      </c>
      <c r="F20" s="55">
        <v>0.89014492753623187</v>
      </c>
      <c r="G20" s="56">
        <v>45237</v>
      </c>
      <c r="H20" s="40">
        <v>345000</v>
      </c>
      <c r="I20" s="57">
        <f t="shared" si="0"/>
        <v>37900</v>
      </c>
      <c r="J20" s="58">
        <f t="shared" si="1"/>
        <v>1436410000</v>
      </c>
      <c r="K20" s="57">
        <f t="shared" si="2"/>
        <v>590004.39267015702</v>
      </c>
      <c r="L20" s="57">
        <f t="shared" si="3"/>
        <v>-245004.39267015702</v>
      </c>
      <c r="M20" s="58">
        <f t="shared" si="4"/>
        <v>60027152427.672485</v>
      </c>
      <c r="N20" s="59">
        <f t="shared" si="5"/>
        <v>0.12267126133391981</v>
      </c>
      <c r="O20" s="26">
        <f t="shared" si="6"/>
        <v>0.13473438173477481</v>
      </c>
      <c r="P20" s="26">
        <f t="shared" si="7"/>
        <v>1.8153353621452019E-2</v>
      </c>
    </row>
    <row r="21" spans="1:16" x14ac:dyDescent="0.3">
      <c r="A21" s="23">
        <f t="shared" si="8"/>
        <v>8</v>
      </c>
      <c r="C21" s="40">
        <v>18131533415</v>
      </c>
      <c r="D21" s="39" t="s">
        <v>302</v>
      </c>
      <c r="E21" s="40">
        <v>314300</v>
      </c>
      <c r="F21" s="55">
        <v>0.9524242424242424</v>
      </c>
      <c r="G21" s="56">
        <v>45042</v>
      </c>
      <c r="H21" s="40">
        <v>330000</v>
      </c>
      <c r="I21" s="57">
        <f t="shared" si="0"/>
        <v>15700</v>
      </c>
      <c r="J21" s="58">
        <f t="shared" si="1"/>
        <v>246490000</v>
      </c>
      <c r="K21" s="57">
        <f t="shared" si="2"/>
        <v>590004.39267015702</v>
      </c>
      <c r="L21" s="57">
        <f t="shared" si="3"/>
        <v>-260004.39267015702</v>
      </c>
      <c r="M21" s="58">
        <f t="shared" si="4"/>
        <v>67602284207.777199</v>
      </c>
      <c r="N21" s="59">
        <f t="shared" si="5"/>
        <v>6.0391946445909284E-2</v>
      </c>
      <c r="O21" s="26">
        <f t="shared" si="6"/>
        <v>7.2455066846764282E-2</v>
      </c>
      <c r="P21" s="26">
        <f t="shared" si="7"/>
        <v>5.2497367117690808E-3</v>
      </c>
    </row>
    <row r="22" spans="1:16" x14ac:dyDescent="0.3">
      <c r="A22" s="23">
        <f t="shared" si="8"/>
        <v>9</v>
      </c>
      <c r="C22" s="40">
        <v>17132414415</v>
      </c>
      <c r="D22" s="41" t="s">
        <v>302</v>
      </c>
      <c r="E22" s="40">
        <v>356400</v>
      </c>
      <c r="F22" s="55">
        <v>1.11375</v>
      </c>
      <c r="G22" s="60">
        <v>44847</v>
      </c>
      <c r="H22" s="40">
        <v>320000</v>
      </c>
      <c r="I22" s="57">
        <f t="shared" si="0"/>
        <v>-36400</v>
      </c>
      <c r="J22" s="58">
        <f t="shared" si="1"/>
        <v>1324960000</v>
      </c>
      <c r="K22" s="57">
        <f t="shared" si="2"/>
        <v>590004.39267015702</v>
      </c>
      <c r="L22" s="57">
        <f t="shared" si="3"/>
        <v>-270004.39267015702</v>
      </c>
      <c r="M22" s="58">
        <f t="shared" si="4"/>
        <v>72902372061.180344</v>
      </c>
      <c r="N22" s="59">
        <f t="shared" si="5"/>
        <v>0.10093381112984834</v>
      </c>
      <c r="O22" s="26">
        <f t="shared" si="6"/>
        <v>-8.887069072899334E-2</v>
      </c>
      <c r="P22" s="26">
        <f t="shared" si="7"/>
        <v>7.8979996706483833E-3</v>
      </c>
    </row>
    <row r="23" spans="1:16" x14ac:dyDescent="0.3">
      <c r="A23" s="23">
        <f t="shared" si="8"/>
        <v>10</v>
      </c>
      <c r="C23" s="40">
        <v>18131533500</v>
      </c>
      <c r="D23" s="39" t="s">
        <v>302</v>
      </c>
      <c r="E23" s="40">
        <v>395200</v>
      </c>
      <c r="F23" s="55">
        <v>1.0710027100271002</v>
      </c>
      <c r="G23" s="56">
        <v>44501</v>
      </c>
      <c r="H23" s="40">
        <v>369000</v>
      </c>
      <c r="I23" s="57">
        <f t="shared" si="0"/>
        <v>-26200</v>
      </c>
      <c r="J23" s="58">
        <f t="shared" si="1"/>
        <v>686440000</v>
      </c>
      <c r="K23" s="57">
        <f t="shared" si="2"/>
        <v>590004.39267015702</v>
      </c>
      <c r="L23" s="57">
        <f t="shared" si="3"/>
        <v>-221004.39267015702</v>
      </c>
      <c r="M23" s="58">
        <f t="shared" si="4"/>
        <v>48842941579.504951</v>
      </c>
      <c r="N23" s="59">
        <f t="shared" si="5"/>
        <v>5.8186521156948556E-2</v>
      </c>
      <c r="O23" s="26">
        <f t="shared" si="6"/>
        <v>-4.6123400756093558E-2</v>
      </c>
      <c r="P23" s="26">
        <f t="shared" si="7"/>
        <v>2.1273680973072119E-3</v>
      </c>
    </row>
    <row r="24" spans="1:16" x14ac:dyDescent="0.3">
      <c r="A24" s="23">
        <f t="shared" si="8"/>
        <v>11</v>
      </c>
      <c r="C24" s="40">
        <v>18131644502</v>
      </c>
      <c r="D24" s="39" t="s">
        <v>302</v>
      </c>
      <c r="E24" s="40">
        <v>335600</v>
      </c>
      <c r="F24" s="55">
        <v>1.1572413793103449</v>
      </c>
      <c r="G24" s="56">
        <v>44966</v>
      </c>
      <c r="H24" s="40">
        <v>290000</v>
      </c>
      <c r="I24" s="57">
        <f t="shared" si="0"/>
        <v>-45600</v>
      </c>
      <c r="J24" s="58">
        <f t="shared" si="1"/>
        <v>2079360000</v>
      </c>
      <c r="K24" s="57">
        <f t="shared" si="2"/>
        <v>590004.39267015702</v>
      </c>
      <c r="L24" s="57">
        <f t="shared" si="3"/>
        <v>-300004.39267015702</v>
      </c>
      <c r="M24" s="58">
        <f t="shared" si="4"/>
        <v>90002635621.389755</v>
      </c>
      <c r="N24" s="59">
        <f t="shared" si="5"/>
        <v>0.1444251904401932</v>
      </c>
      <c r="O24" s="26">
        <f t="shared" si="6"/>
        <v>-0.1323620700393382</v>
      </c>
      <c r="P24" s="26">
        <f t="shared" si="7"/>
        <v>1.7519717585098672E-2</v>
      </c>
    </row>
    <row r="25" spans="1:16" x14ac:dyDescent="0.3">
      <c r="A25" s="23">
        <f t="shared" si="8"/>
        <v>12</v>
      </c>
      <c r="C25" s="40">
        <v>18131533414</v>
      </c>
      <c r="D25" s="39" t="s">
        <v>302</v>
      </c>
      <c r="E25" s="40">
        <v>292400</v>
      </c>
      <c r="F25" s="55">
        <v>0.91374999999999995</v>
      </c>
      <c r="G25" s="56">
        <v>44239</v>
      </c>
      <c r="H25" s="40">
        <v>320000</v>
      </c>
      <c r="I25" s="57">
        <f t="shared" si="0"/>
        <v>27600</v>
      </c>
      <c r="J25" s="58">
        <f t="shared" si="1"/>
        <v>761760000</v>
      </c>
      <c r="K25" s="57">
        <f t="shared" si="2"/>
        <v>590004.39267015702</v>
      </c>
      <c r="L25" s="57">
        <f t="shared" si="3"/>
        <v>-270004.39267015702</v>
      </c>
      <c r="M25" s="58">
        <f t="shared" si="4"/>
        <v>72902372061.180344</v>
      </c>
      <c r="N25" s="59">
        <f t="shared" si="5"/>
        <v>9.9066188870151728E-2</v>
      </c>
      <c r="O25" s="26">
        <f t="shared" si="6"/>
        <v>0.11112930927100673</v>
      </c>
      <c r="P25" s="26">
        <f t="shared" si="7"/>
        <v>1.2349723379051061E-2</v>
      </c>
    </row>
    <row r="26" spans="1:16" x14ac:dyDescent="0.3">
      <c r="A26" s="23">
        <f t="shared" si="8"/>
        <v>13</v>
      </c>
      <c r="C26" s="40">
        <v>18131644543</v>
      </c>
      <c r="D26" s="39" t="s">
        <v>302</v>
      </c>
      <c r="E26" s="40">
        <v>481900</v>
      </c>
      <c r="F26" s="55">
        <v>1.1473809523809524</v>
      </c>
      <c r="G26" s="56">
        <v>44537</v>
      </c>
      <c r="H26" s="40">
        <v>420000</v>
      </c>
      <c r="I26" s="57">
        <f t="shared" si="0"/>
        <v>-61900</v>
      </c>
      <c r="J26" s="58">
        <f t="shared" si="1"/>
        <v>3831610000</v>
      </c>
      <c r="K26" s="57">
        <f t="shared" si="2"/>
        <v>590004.39267015702</v>
      </c>
      <c r="L26" s="57">
        <f t="shared" si="3"/>
        <v>-170004.39267015702</v>
      </c>
      <c r="M26" s="58">
        <f t="shared" si="4"/>
        <v>28901493527.148937</v>
      </c>
      <c r="N26" s="59">
        <f t="shared" si="5"/>
        <v>0.13456476351080071</v>
      </c>
      <c r="O26" s="26">
        <f t="shared" si="6"/>
        <v>-0.12250164310994571</v>
      </c>
      <c r="P26" s="26">
        <f t="shared" si="7"/>
        <v>1.500665256463651E-2</v>
      </c>
    </row>
    <row r="27" spans="1:16" x14ac:dyDescent="0.3">
      <c r="A27" s="23">
        <f t="shared" si="8"/>
        <v>14</v>
      </c>
      <c r="C27" s="40">
        <v>18131644543</v>
      </c>
      <c r="D27" s="41" t="s">
        <v>302</v>
      </c>
      <c r="E27" s="40">
        <v>469100</v>
      </c>
      <c r="F27" s="55">
        <v>0.987578947368421</v>
      </c>
      <c r="G27" s="60">
        <v>44778</v>
      </c>
      <c r="H27" s="40">
        <v>475000</v>
      </c>
      <c r="I27" s="57">
        <f t="shared" si="0"/>
        <v>5900</v>
      </c>
      <c r="J27" s="58">
        <f t="shared" si="1"/>
        <v>34810000</v>
      </c>
      <c r="K27" s="57">
        <f t="shared" si="2"/>
        <v>590004.39267015702</v>
      </c>
      <c r="L27" s="57">
        <f t="shared" si="3"/>
        <v>-115004.39267015702</v>
      </c>
      <c r="M27" s="58">
        <f t="shared" si="4"/>
        <v>13226010333.431665</v>
      </c>
      <c r="N27" s="59">
        <f t="shared" si="5"/>
        <v>2.5237241501730678E-2</v>
      </c>
      <c r="O27" s="26">
        <f t="shared" si="6"/>
        <v>3.7300361902585677E-2</v>
      </c>
      <c r="P27" s="26">
        <f t="shared" si="7"/>
        <v>1.3913169980638649E-3</v>
      </c>
    </row>
    <row r="28" spans="1:16" x14ac:dyDescent="0.3">
      <c r="A28" s="23">
        <f t="shared" si="8"/>
        <v>15</v>
      </c>
      <c r="C28" s="40">
        <v>18131923425</v>
      </c>
      <c r="D28" s="41" t="s">
        <v>302</v>
      </c>
      <c r="E28" s="40">
        <v>515100</v>
      </c>
      <c r="F28" s="55">
        <v>1.0408163265306123</v>
      </c>
      <c r="G28" s="60">
        <v>45176</v>
      </c>
      <c r="H28" s="40">
        <v>494900</v>
      </c>
      <c r="I28" s="57">
        <f t="shared" si="0"/>
        <v>-20200</v>
      </c>
      <c r="J28" s="58">
        <f t="shared" si="1"/>
        <v>408040000</v>
      </c>
      <c r="K28" s="57">
        <f t="shared" si="2"/>
        <v>590004.39267015702</v>
      </c>
      <c r="L28" s="57">
        <f t="shared" si="3"/>
        <v>-95104.392670157016</v>
      </c>
      <c r="M28" s="58">
        <f t="shared" si="4"/>
        <v>9044845505.1594162</v>
      </c>
      <c r="N28" s="59">
        <f t="shared" si="5"/>
        <v>2.8000137660460611E-2</v>
      </c>
      <c r="O28" s="26">
        <f t="shared" si="6"/>
        <v>-1.5937017259605613E-2</v>
      </c>
      <c r="P28" s="26">
        <f t="shared" si="7"/>
        <v>2.5398851913296721E-4</v>
      </c>
    </row>
    <row r="29" spans="1:16" x14ac:dyDescent="0.3">
      <c r="A29" s="23">
        <f t="shared" si="8"/>
        <v>16</v>
      </c>
      <c r="C29" s="40">
        <v>18131633402</v>
      </c>
      <c r="D29" s="41" t="s">
        <v>302</v>
      </c>
      <c r="E29" s="40">
        <v>436500</v>
      </c>
      <c r="F29" s="55">
        <v>1.3869471276054905</v>
      </c>
      <c r="G29" s="56">
        <v>44907</v>
      </c>
      <c r="H29" s="40">
        <v>314720</v>
      </c>
      <c r="I29" s="57">
        <f t="shared" si="0"/>
        <v>-121780</v>
      </c>
      <c r="J29" s="58">
        <f t="shared" si="1"/>
        <v>14830368400</v>
      </c>
      <c r="K29" s="57">
        <f t="shared" si="2"/>
        <v>590004.39267015702</v>
      </c>
      <c r="L29" s="57">
        <f t="shared" si="3"/>
        <v>-275284.39267015702</v>
      </c>
      <c r="M29" s="58">
        <f t="shared" si="4"/>
        <v>75781496847.777191</v>
      </c>
      <c r="N29" s="59">
        <f t="shared" si="5"/>
        <v>0.37413093873533887</v>
      </c>
      <c r="O29" s="26">
        <f t="shared" si="6"/>
        <v>-0.36206781833448387</v>
      </c>
      <c r="P29" s="26">
        <f t="shared" si="7"/>
        <v>0.13109310507349281</v>
      </c>
    </row>
    <row r="30" spans="1:16" x14ac:dyDescent="0.3">
      <c r="A30" s="23">
        <f t="shared" si="8"/>
        <v>17</v>
      </c>
      <c r="C30" s="40">
        <v>18131633402</v>
      </c>
      <c r="D30" s="39" t="s">
        <v>302</v>
      </c>
      <c r="E30" s="40">
        <v>453100</v>
      </c>
      <c r="F30" s="55">
        <v>1.3287390029325514</v>
      </c>
      <c r="G30" s="56">
        <v>45044</v>
      </c>
      <c r="H30" s="40">
        <v>341000</v>
      </c>
      <c r="I30" s="57">
        <f t="shared" si="0"/>
        <v>-112100</v>
      </c>
      <c r="J30" s="58">
        <f t="shared" si="1"/>
        <v>12566410000</v>
      </c>
      <c r="K30" s="57">
        <f t="shared" si="2"/>
        <v>590004.39267015702</v>
      </c>
      <c r="L30" s="57">
        <f t="shared" si="3"/>
        <v>-249004.39267015702</v>
      </c>
      <c r="M30" s="58">
        <f t="shared" si="4"/>
        <v>62003187569.033745</v>
      </c>
      <c r="N30" s="59">
        <f t="shared" si="5"/>
        <v>0.31592281406239975</v>
      </c>
      <c r="O30" s="26">
        <f t="shared" si="6"/>
        <v>-0.30385969366154475</v>
      </c>
      <c r="P30" s="26">
        <f t="shared" si="7"/>
        <v>9.2330713432087819E-2</v>
      </c>
    </row>
    <row r="31" spans="1:16" x14ac:dyDescent="0.3">
      <c r="A31" s="23">
        <f t="shared" si="8"/>
        <v>18</v>
      </c>
      <c r="C31" s="40">
        <v>18131744405</v>
      </c>
      <c r="D31" s="41" t="s">
        <v>302</v>
      </c>
      <c r="E31" s="40">
        <v>365500</v>
      </c>
      <c r="F31" s="55">
        <v>1.0910447761194031</v>
      </c>
      <c r="G31" s="56">
        <v>44502</v>
      </c>
      <c r="H31" s="40">
        <v>335000</v>
      </c>
      <c r="I31" s="57">
        <f t="shared" si="0"/>
        <v>-30500</v>
      </c>
      <c r="J31" s="58">
        <f t="shared" si="1"/>
        <v>930250000</v>
      </c>
      <c r="K31" s="57">
        <f t="shared" si="2"/>
        <v>590004.39267015702</v>
      </c>
      <c r="L31" s="57">
        <f t="shared" si="3"/>
        <v>-255004.39267015702</v>
      </c>
      <c r="M31" s="58">
        <f t="shared" si="4"/>
        <v>65027240281.07563</v>
      </c>
      <c r="N31" s="59">
        <f t="shared" si="5"/>
        <v>7.8228587249251413E-2</v>
      </c>
      <c r="O31" s="26">
        <f t="shared" si="6"/>
        <v>-6.6165466848396415E-2</v>
      </c>
      <c r="P31" s="26">
        <f t="shared" si="7"/>
        <v>4.3778690032662453E-3</v>
      </c>
    </row>
    <row r="32" spans="1:16" x14ac:dyDescent="0.3">
      <c r="A32" s="23">
        <f t="shared" si="8"/>
        <v>19</v>
      </c>
      <c r="C32" s="40">
        <v>18131534013</v>
      </c>
      <c r="D32" s="41" t="s">
        <v>302</v>
      </c>
      <c r="E32" s="40">
        <v>333700</v>
      </c>
      <c r="F32" s="55">
        <v>0.96028776978417263</v>
      </c>
      <c r="G32" s="60">
        <v>44432</v>
      </c>
      <c r="H32" s="40">
        <v>347500</v>
      </c>
      <c r="I32" s="57">
        <f t="shared" si="0"/>
        <v>13800</v>
      </c>
      <c r="J32" s="58">
        <f t="shared" si="1"/>
        <v>190440000</v>
      </c>
      <c r="K32" s="57">
        <f t="shared" si="2"/>
        <v>590004.39267015702</v>
      </c>
      <c r="L32" s="57">
        <f t="shared" si="3"/>
        <v>-242504.39267015702</v>
      </c>
      <c r="M32" s="58">
        <f t="shared" si="4"/>
        <v>58808380464.321701</v>
      </c>
      <c r="N32" s="59">
        <f t="shared" si="5"/>
        <v>5.252841908597905E-2</v>
      </c>
      <c r="O32" s="26">
        <f t="shared" si="6"/>
        <v>6.4591539486834049E-2</v>
      </c>
      <c r="P32" s="26">
        <f t="shared" si="7"/>
        <v>4.1720669732792422E-3</v>
      </c>
    </row>
    <row r="33" spans="1:16" x14ac:dyDescent="0.3">
      <c r="A33" s="23">
        <f t="shared" si="8"/>
        <v>20</v>
      </c>
      <c r="C33" s="40">
        <v>18131644491</v>
      </c>
      <c r="D33" s="41" t="s">
        <v>302</v>
      </c>
      <c r="E33" s="40">
        <v>340600</v>
      </c>
      <c r="F33" s="55">
        <v>1.0321212121212122</v>
      </c>
      <c r="G33" s="60">
        <v>44763</v>
      </c>
      <c r="H33" s="40">
        <v>330000</v>
      </c>
      <c r="I33" s="57">
        <f t="shared" si="0"/>
        <v>-10600</v>
      </c>
      <c r="J33" s="58">
        <f t="shared" si="1"/>
        <v>112360000</v>
      </c>
      <c r="K33" s="57">
        <f t="shared" si="2"/>
        <v>590004.39267015702</v>
      </c>
      <c r="L33" s="57">
        <f t="shared" si="3"/>
        <v>-260004.39267015702</v>
      </c>
      <c r="M33" s="58">
        <f t="shared" si="4"/>
        <v>67602284207.777199</v>
      </c>
      <c r="N33" s="59">
        <f t="shared" si="5"/>
        <v>1.9305023251060538E-2</v>
      </c>
      <c r="O33" s="26">
        <f t="shared" si="6"/>
        <v>-7.2419028502055394E-3</v>
      </c>
      <c r="P33" s="26">
        <f t="shared" si="7"/>
        <v>5.2445156891815115E-5</v>
      </c>
    </row>
    <row r="34" spans="1:16" x14ac:dyDescent="0.3">
      <c r="A34" s="23">
        <f t="shared" si="8"/>
        <v>21</v>
      </c>
      <c r="C34" s="40">
        <v>18131533428</v>
      </c>
      <c r="D34" s="41" t="s">
        <v>302</v>
      </c>
      <c r="E34" s="40">
        <v>342200</v>
      </c>
      <c r="F34" s="55">
        <v>0.9505555555555556</v>
      </c>
      <c r="G34" s="56">
        <v>44348</v>
      </c>
      <c r="H34" s="40">
        <v>360000</v>
      </c>
      <c r="I34" s="57">
        <f t="shared" si="0"/>
        <v>17800</v>
      </c>
      <c r="J34" s="58">
        <f t="shared" si="1"/>
        <v>316840000</v>
      </c>
      <c r="K34" s="57">
        <f t="shared" si="2"/>
        <v>590004.39267015702</v>
      </c>
      <c r="L34" s="57">
        <f t="shared" si="3"/>
        <v>-230004.39267015702</v>
      </c>
      <c r="M34" s="58">
        <f t="shared" si="4"/>
        <v>52902020647.56778</v>
      </c>
      <c r="N34" s="59">
        <f t="shared" si="5"/>
        <v>6.2260633314596081E-2</v>
      </c>
      <c r="O34" s="26">
        <f t="shared" si="6"/>
        <v>7.432375371545108E-2</v>
      </c>
      <c r="P34" s="26">
        <f t="shared" si="7"/>
        <v>5.5240203663550281E-3</v>
      </c>
    </row>
    <row r="35" spans="1:16" x14ac:dyDescent="0.3">
      <c r="A35" s="23">
        <f t="shared" si="8"/>
        <v>22</v>
      </c>
      <c r="C35" s="40">
        <v>18131644415</v>
      </c>
      <c r="D35" s="41" t="s">
        <v>302</v>
      </c>
      <c r="E35" s="40">
        <v>292800</v>
      </c>
      <c r="F35" s="55">
        <v>1.0494623655913979</v>
      </c>
      <c r="G35" s="56">
        <v>44411</v>
      </c>
      <c r="H35" s="40">
        <v>279000</v>
      </c>
      <c r="I35" s="57">
        <f t="shared" si="0"/>
        <v>-13800</v>
      </c>
      <c r="J35" s="58">
        <f t="shared" si="1"/>
        <v>190440000</v>
      </c>
      <c r="K35" s="57">
        <f t="shared" si="2"/>
        <v>590004.39267015702</v>
      </c>
      <c r="L35" s="57">
        <f t="shared" si="3"/>
        <v>-311004.39267015702</v>
      </c>
      <c r="M35" s="58">
        <f t="shared" si="4"/>
        <v>96723732260.133209</v>
      </c>
      <c r="N35" s="59">
        <f t="shared" si="5"/>
        <v>3.664617672124626E-2</v>
      </c>
      <c r="O35" s="26">
        <f t="shared" si="6"/>
        <v>-2.4583056320391261E-2</v>
      </c>
      <c r="P35" s="26">
        <f t="shared" si="7"/>
        <v>6.0432665805152871E-4</v>
      </c>
    </row>
    <row r="36" spans="1:16" x14ac:dyDescent="0.3">
      <c r="A36" s="23">
        <f t="shared" si="8"/>
        <v>23</v>
      </c>
      <c r="C36" s="40">
        <v>18131644493</v>
      </c>
      <c r="D36" s="39" t="s">
        <v>302</v>
      </c>
      <c r="E36" s="40">
        <v>416100</v>
      </c>
      <c r="F36" s="55">
        <v>1.0807792207792208</v>
      </c>
      <c r="G36" s="56">
        <v>44420</v>
      </c>
      <c r="H36" s="40">
        <v>385000</v>
      </c>
      <c r="I36" s="57">
        <f t="shared" si="0"/>
        <v>-31100</v>
      </c>
      <c r="J36" s="58">
        <f t="shared" si="1"/>
        <v>967210000</v>
      </c>
      <c r="K36" s="57">
        <f t="shared" si="2"/>
        <v>590004.39267015702</v>
      </c>
      <c r="L36" s="57">
        <f t="shared" si="3"/>
        <v>-205004.39267015702</v>
      </c>
      <c r="M36" s="58">
        <f t="shared" si="4"/>
        <v>42026801014.059929</v>
      </c>
      <c r="N36" s="59">
        <f t="shared" si="5"/>
        <v>6.796303190906916E-2</v>
      </c>
      <c r="O36" s="26">
        <f t="shared" si="6"/>
        <v>-5.5899911508214162E-2</v>
      </c>
      <c r="P36" s="26">
        <f t="shared" si="7"/>
        <v>3.1248001066261741E-3</v>
      </c>
    </row>
    <row r="37" spans="1:16" x14ac:dyDescent="0.3">
      <c r="A37" s="23">
        <f t="shared" si="8"/>
        <v>24</v>
      </c>
      <c r="C37" s="40">
        <v>18131624421</v>
      </c>
      <c r="D37" s="39" t="s">
        <v>302</v>
      </c>
      <c r="E37" s="40">
        <v>372700</v>
      </c>
      <c r="F37" s="55">
        <v>1.2741880341880343</v>
      </c>
      <c r="G37" s="56">
        <v>44312</v>
      </c>
      <c r="H37" s="40">
        <v>292500</v>
      </c>
      <c r="I37" s="57">
        <f t="shared" si="0"/>
        <v>-80200</v>
      </c>
      <c r="J37" s="58">
        <f t="shared" si="1"/>
        <v>6432040000</v>
      </c>
      <c r="K37" s="57">
        <f t="shared" si="2"/>
        <v>590004.39267015702</v>
      </c>
      <c r="L37" s="57">
        <f t="shared" si="3"/>
        <v>-297504.39267015702</v>
      </c>
      <c r="M37" s="58">
        <f t="shared" si="4"/>
        <v>88508863658.038971</v>
      </c>
      <c r="N37" s="59">
        <f t="shared" si="5"/>
        <v>0.2613718453178826</v>
      </c>
      <c r="O37" s="26">
        <f t="shared" si="6"/>
        <v>-0.2493087249170276</v>
      </c>
      <c r="P37" s="26">
        <f t="shared" si="7"/>
        <v>6.2154840319754143E-2</v>
      </c>
    </row>
    <row r="38" spans="1:16" x14ac:dyDescent="0.3">
      <c r="A38" s="23">
        <f t="shared" si="8"/>
        <v>25</v>
      </c>
      <c r="C38" s="40">
        <v>18131721006</v>
      </c>
      <c r="D38" s="39" t="s">
        <v>302</v>
      </c>
      <c r="E38" s="40">
        <v>532500</v>
      </c>
      <c r="F38" s="55">
        <v>1.4791666666666667</v>
      </c>
      <c r="G38" s="56">
        <v>44866</v>
      </c>
      <c r="H38" s="40">
        <v>360000</v>
      </c>
      <c r="I38" s="57">
        <f t="shared" si="0"/>
        <v>-172500</v>
      </c>
      <c r="J38" s="58">
        <f t="shared" si="1"/>
        <v>29756250000</v>
      </c>
      <c r="K38" s="57">
        <f t="shared" si="2"/>
        <v>590004.39267015702</v>
      </c>
      <c r="L38" s="57">
        <f t="shared" si="3"/>
        <v>-230004.39267015702</v>
      </c>
      <c r="M38" s="58">
        <f t="shared" si="4"/>
        <v>52902020647.56778</v>
      </c>
      <c r="N38" s="59">
        <f t="shared" si="5"/>
        <v>0.46635047779651506</v>
      </c>
      <c r="O38" s="26">
        <f t="shared" si="6"/>
        <v>-0.45428735739566006</v>
      </c>
      <c r="P38" s="26">
        <f t="shared" si="7"/>
        <v>0.20637700308953219</v>
      </c>
    </row>
    <row r="39" spans="1:16" x14ac:dyDescent="0.3">
      <c r="A39" s="23">
        <f t="shared" si="8"/>
        <v>26</v>
      </c>
      <c r="C39" s="40">
        <v>18131644493</v>
      </c>
      <c r="D39" s="39" t="s">
        <v>302</v>
      </c>
      <c r="E39" s="40">
        <v>490400</v>
      </c>
      <c r="F39" s="55">
        <v>1.1404651162790698</v>
      </c>
      <c r="G39" s="56">
        <v>44739</v>
      </c>
      <c r="H39" s="40">
        <v>430000</v>
      </c>
      <c r="I39" s="57">
        <f t="shared" si="0"/>
        <v>-60400</v>
      </c>
      <c r="J39" s="58">
        <f t="shared" si="1"/>
        <v>3648160000</v>
      </c>
      <c r="K39" s="57">
        <f t="shared" si="2"/>
        <v>590004.39267015702</v>
      </c>
      <c r="L39" s="57">
        <f t="shared" si="3"/>
        <v>-160004.39267015702</v>
      </c>
      <c r="M39" s="58">
        <f t="shared" si="4"/>
        <v>25601405673.745796</v>
      </c>
      <c r="N39" s="59">
        <f t="shared" si="5"/>
        <v>0.12764892740891809</v>
      </c>
      <c r="O39" s="26">
        <f t="shared" si="6"/>
        <v>-0.11558580700806309</v>
      </c>
      <c r="P39" s="26">
        <f t="shared" si="7"/>
        <v>1.3360078781705207E-2</v>
      </c>
    </row>
    <row r="40" spans="1:16" x14ac:dyDescent="0.3">
      <c r="A40" s="23">
        <f t="shared" si="8"/>
        <v>27</v>
      </c>
      <c r="C40" s="40">
        <v>18131644523</v>
      </c>
      <c r="D40" s="41" t="s">
        <v>302</v>
      </c>
      <c r="E40" s="40">
        <v>495200</v>
      </c>
      <c r="F40" s="55">
        <v>1.2536708860759493</v>
      </c>
      <c r="G40" s="60">
        <v>44854</v>
      </c>
      <c r="H40" s="40">
        <v>395000</v>
      </c>
      <c r="I40" s="57">
        <f t="shared" si="0"/>
        <v>-100200</v>
      </c>
      <c r="J40" s="58">
        <f t="shared" si="1"/>
        <v>10040040000</v>
      </c>
      <c r="K40" s="57">
        <f t="shared" si="2"/>
        <v>590004.39267015702</v>
      </c>
      <c r="L40" s="57">
        <f t="shared" si="3"/>
        <v>-195004.39267015702</v>
      </c>
      <c r="M40" s="58">
        <f t="shared" si="4"/>
        <v>38026713160.656784</v>
      </c>
      <c r="N40" s="59">
        <f t="shared" si="5"/>
        <v>0.24085469720579766</v>
      </c>
      <c r="O40" s="26">
        <f t="shared" si="6"/>
        <v>-0.22879157680494266</v>
      </c>
      <c r="P40" s="26">
        <f t="shared" si="7"/>
        <v>5.2345585616891975E-2</v>
      </c>
    </row>
    <row r="41" spans="1:16" x14ac:dyDescent="0.3">
      <c r="A41" s="23">
        <f t="shared" si="8"/>
        <v>28</v>
      </c>
      <c r="C41" s="40">
        <v>18131623400</v>
      </c>
      <c r="D41" s="41" t="s">
        <v>302</v>
      </c>
      <c r="E41" s="40">
        <v>532400</v>
      </c>
      <c r="F41" s="55">
        <v>1.183111111111111</v>
      </c>
      <c r="G41" s="56">
        <v>45006</v>
      </c>
      <c r="H41" s="40">
        <v>450000</v>
      </c>
      <c r="I41" s="57">
        <f t="shared" si="0"/>
        <v>-82400</v>
      </c>
      <c r="J41" s="58">
        <f t="shared" si="1"/>
        <v>6789760000</v>
      </c>
      <c r="K41" s="57">
        <f t="shared" si="2"/>
        <v>590004.39267015702</v>
      </c>
      <c r="L41" s="57">
        <f t="shared" si="3"/>
        <v>-140004.39267015702</v>
      </c>
      <c r="M41" s="58">
        <f t="shared" si="4"/>
        <v>19601229966.939514</v>
      </c>
      <c r="N41" s="59">
        <f t="shared" si="5"/>
        <v>0.17029492224095932</v>
      </c>
      <c r="O41" s="26">
        <f t="shared" si="6"/>
        <v>-0.15823180184010432</v>
      </c>
      <c r="P41" s="26">
        <f t="shared" si="7"/>
        <v>2.5037303113566042E-2</v>
      </c>
    </row>
    <row r="42" spans="1:16" x14ac:dyDescent="0.3">
      <c r="A42" s="23">
        <f t="shared" si="8"/>
        <v>29</v>
      </c>
      <c r="C42" s="40">
        <v>18131533437</v>
      </c>
      <c r="D42" s="41" t="s">
        <v>302</v>
      </c>
      <c r="E42" s="40">
        <v>401100</v>
      </c>
      <c r="F42" s="55">
        <v>1.0361663652802893</v>
      </c>
      <c r="G42" s="56">
        <v>44309</v>
      </c>
      <c r="H42" s="40">
        <v>387100</v>
      </c>
      <c r="I42" s="57">
        <f t="shared" si="0"/>
        <v>-14000</v>
      </c>
      <c r="J42" s="58">
        <f t="shared" si="1"/>
        <v>196000000</v>
      </c>
      <c r="K42" s="57">
        <f t="shared" si="2"/>
        <v>590004.39267015702</v>
      </c>
      <c r="L42" s="57">
        <f t="shared" si="3"/>
        <v>-202904.39267015702</v>
      </c>
      <c r="M42" s="58">
        <f t="shared" si="4"/>
        <v>41170192564.845268</v>
      </c>
      <c r="N42" s="59">
        <f t="shared" si="5"/>
        <v>2.3350176410137591E-2</v>
      </c>
      <c r="O42" s="26">
        <f t="shared" si="6"/>
        <v>-1.1287056009282592E-2</v>
      </c>
      <c r="P42" s="26">
        <f t="shared" si="7"/>
        <v>1.2739763335668227E-4</v>
      </c>
    </row>
    <row r="43" spans="1:16" x14ac:dyDescent="0.3">
      <c r="A43" s="23">
        <f t="shared" si="8"/>
        <v>30</v>
      </c>
      <c r="C43" s="40">
        <v>18131534459</v>
      </c>
      <c r="D43" s="39" t="s">
        <v>302</v>
      </c>
      <c r="E43" s="40">
        <v>392700</v>
      </c>
      <c r="F43" s="55">
        <v>1.1382608695652174</v>
      </c>
      <c r="G43" s="56">
        <v>45215</v>
      </c>
      <c r="H43" s="40">
        <v>345000</v>
      </c>
      <c r="I43" s="57">
        <f t="shared" si="0"/>
        <v>-47700</v>
      </c>
      <c r="J43" s="58">
        <f t="shared" si="1"/>
        <v>2275290000</v>
      </c>
      <c r="K43" s="57">
        <f t="shared" si="2"/>
        <v>590004.39267015702</v>
      </c>
      <c r="L43" s="57">
        <f t="shared" si="3"/>
        <v>-245004.39267015702</v>
      </c>
      <c r="M43" s="58">
        <f t="shared" si="4"/>
        <v>60027152427.672485</v>
      </c>
      <c r="N43" s="59">
        <f t="shared" si="5"/>
        <v>0.12544468069506576</v>
      </c>
      <c r="O43" s="26">
        <f t="shared" si="6"/>
        <v>-0.11338156029421076</v>
      </c>
      <c r="P43" s="26">
        <f t="shared" si="7"/>
        <v>1.285537821474975E-2</v>
      </c>
    </row>
    <row r="44" spans="1:16" x14ac:dyDescent="0.3">
      <c r="A44" s="23">
        <f t="shared" si="8"/>
        <v>31</v>
      </c>
      <c r="C44" s="40">
        <v>18131644404</v>
      </c>
      <c r="D44" s="39" t="s">
        <v>302</v>
      </c>
      <c r="E44" s="40">
        <v>504400</v>
      </c>
      <c r="F44" s="55">
        <v>1.3450666666666666</v>
      </c>
      <c r="G44" s="56">
        <v>44874</v>
      </c>
      <c r="H44" s="40">
        <v>375000</v>
      </c>
      <c r="I44" s="57">
        <f t="shared" si="0"/>
        <v>-129400</v>
      </c>
      <c r="J44" s="58">
        <f t="shared" si="1"/>
        <v>16744360000</v>
      </c>
      <c r="K44" s="57">
        <f t="shared" si="2"/>
        <v>590004.39267015702</v>
      </c>
      <c r="L44" s="57">
        <f t="shared" si="3"/>
        <v>-215004.39267015702</v>
      </c>
      <c r="M44" s="58">
        <f t="shared" si="4"/>
        <v>46226888867.463066</v>
      </c>
      <c r="N44" s="59">
        <f t="shared" si="5"/>
        <v>0.33225047779651495</v>
      </c>
      <c r="O44" s="26">
        <f t="shared" si="6"/>
        <v>-0.32018735739565996</v>
      </c>
      <c r="P44" s="26">
        <f t="shared" si="7"/>
        <v>0.10251994383601608</v>
      </c>
    </row>
    <row r="45" spans="1:16" x14ac:dyDescent="0.3">
      <c r="A45" s="23">
        <f t="shared" si="8"/>
        <v>32</v>
      </c>
      <c r="C45" s="40">
        <v>18131524446</v>
      </c>
      <c r="D45" s="39" t="s">
        <v>302</v>
      </c>
      <c r="E45" s="40">
        <v>570400</v>
      </c>
      <c r="F45" s="55">
        <v>1.1408</v>
      </c>
      <c r="G45" s="56">
        <v>44868</v>
      </c>
      <c r="H45" s="40">
        <v>500000</v>
      </c>
      <c r="I45" s="57">
        <f t="shared" si="0"/>
        <v>-70400</v>
      </c>
      <c r="J45" s="58">
        <f t="shared" si="1"/>
        <v>4956160000</v>
      </c>
      <c r="K45" s="57">
        <f t="shared" si="2"/>
        <v>590004.39267015702</v>
      </c>
      <c r="L45" s="57">
        <f t="shared" si="3"/>
        <v>-90004.392670157016</v>
      </c>
      <c r="M45" s="58">
        <f t="shared" si="4"/>
        <v>8100790699.9238138</v>
      </c>
      <c r="N45" s="59">
        <f t="shared" si="5"/>
        <v>0.12798381112984836</v>
      </c>
      <c r="O45" s="26">
        <f t="shared" si="6"/>
        <v>-0.11592069072899336</v>
      </c>
      <c r="P45" s="26">
        <f t="shared" si="7"/>
        <v>1.3437606539086927E-2</v>
      </c>
    </row>
    <row r="46" spans="1:16" x14ac:dyDescent="0.3">
      <c r="A46" s="23">
        <f t="shared" si="8"/>
        <v>33</v>
      </c>
      <c r="C46" s="40">
        <v>18131923422</v>
      </c>
      <c r="D46" s="39" t="s">
        <v>302</v>
      </c>
      <c r="E46" s="40">
        <v>608900</v>
      </c>
      <c r="F46" s="55">
        <v>1.231344792719919</v>
      </c>
      <c r="G46" s="56">
        <v>45106</v>
      </c>
      <c r="H46" s="40">
        <v>494500</v>
      </c>
      <c r="I46" s="57">
        <f t="shared" ref="I46:I77" si="9">+H46-E46</f>
        <v>-114400</v>
      </c>
      <c r="J46" s="58">
        <f t="shared" ref="J46:J77" si="10">+I46^2</f>
        <v>13087360000</v>
      </c>
      <c r="K46" s="57">
        <f t="shared" ref="K46:K77" si="11">AVERAGE($H$14:$H$1419)</f>
        <v>590004.39267015702</v>
      </c>
      <c r="L46" s="57">
        <f t="shared" ref="L46:L77" si="12">+H46-K46</f>
        <v>-95504.392670157016</v>
      </c>
      <c r="M46" s="58">
        <f t="shared" ref="M46:M77" si="13">+L46^2</f>
        <v>9121089019.2955418</v>
      </c>
      <c r="N46" s="59">
        <f t="shared" ref="N46:N77" si="14">ABS(+$F$2-F46)</f>
        <v>0.21852860384976736</v>
      </c>
      <c r="O46" s="26">
        <f t="shared" ref="O46:O77" si="15">+$F$3-F46</f>
        <v>-0.20646548344891236</v>
      </c>
      <c r="P46" s="26">
        <f t="shared" ref="P46:P77" si="16">+O46*O46</f>
        <v>4.2627995855793105E-2</v>
      </c>
    </row>
    <row r="47" spans="1:16" x14ac:dyDescent="0.3">
      <c r="A47" s="23">
        <f t="shared" ref="A47:A78" si="17">+A46+1</f>
        <v>34</v>
      </c>
      <c r="C47" s="40">
        <v>18131742437</v>
      </c>
      <c r="D47" s="41" t="s">
        <v>302</v>
      </c>
      <c r="E47" s="40">
        <v>1013700</v>
      </c>
      <c r="F47" s="55">
        <v>0.96542857142857141</v>
      </c>
      <c r="G47" s="56">
        <v>44750</v>
      </c>
      <c r="H47" s="40">
        <v>1050000</v>
      </c>
      <c r="I47" s="57">
        <f t="shared" si="9"/>
        <v>36300</v>
      </c>
      <c r="J47" s="58">
        <f t="shared" si="10"/>
        <v>1317690000</v>
      </c>
      <c r="K47" s="57">
        <f t="shared" si="11"/>
        <v>590004.39267015702</v>
      </c>
      <c r="L47" s="57">
        <f t="shared" si="12"/>
        <v>459995.60732984298</v>
      </c>
      <c r="M47" s="58">
        <f t="shared" si="13"/>
        <v>211595958762.7511</v>
      </c>
      <c r="N47" s="59">
        <f t="shared" si="14"/>
        <v>4.7387617441580265E-2</v>
      </c>
      <c r="O47" s="26">
        <f t="shared" si="15"/>
        <v>5.9450737842435264E-2</v>
      </c>
      <c r="P47" s="26">
        <f t="shared" si="16"/>
        <v>3.5343902300099643E-3</v>
      </c>
    </row>
    <row r="48" spans="1:16" x14ac:dyDescent="0.3">
      <c r="A48" s="23">
        <f t="shared" si="17"/>
        <v>35</v>
      </c>
      <c r="C48" s="40">
        <v>18131741413</v>
      </c>
      <c r="D48" s="39" t="s">
        <v>302</v>
      </c>
      <c r="E48" s="40">
        <v>951600</v>
      </c>
      <c r="F48" s="55">
        <v>1.0457142857142858</v>
      </c>
      <c r="G48" s="56">
        <v>44670</v>
      </c>
      <c r="H48" s="40">
        <v>910000</v>
      </c>
      <c r="I48" s="57">
        <f t="shared" si="9"/>
        <v>-41600</v>
      </c>
      <c r="J48" s="58">
        <f t="shared" si="10"/>
        <v>1730560000</v>
      </c>
      <c r="K48" s="57">
        <f t="shared" si="11"/>
        <v>590004.39267015702</v>
      </c>
      <c r="L48" s="57">
        <f t="shared" si="12"/>
        <v>319995.60732984298</v>
      </c>
      <c r="M48" s="58">
        <f t="shared" si="13"/>
        <v>102397188710.39507</v>
      </c>
      <c r="N48" s="59">
        <f t="shared" si="14"/>
        <v>3.2898096844134139E-2</v>
      </c>
      <c r="O48" s="26">
        <f t="shared" si="15"/>
        <v>-2.0834976443279141E-2</v>
      </c>
      <c r="P48" s="26">
        <f t="shared" si="16"/>
        <v>4.3409624339199669E-4</v>
      </c>
    </row>
    <row r="49" spans="1:16" x14ac:dyDescent="0.3">
      <c r="A49" s="23">
        <f t="shared" si="17"/>
        <v>36</v>
      </c>
      <c r="C49" s="40">
        <v>17132413431</v>
      </c>
      <c r="D49" s="41" t="s">
        <v>302</v>
      </c>
      <c r="E49" s="40">
        <v>1028800</v>
      </c>
      <c r="F49" s="55">
        <v>0.93527272727272726</v>
      </c>
      <c r="G49" s="60">
        <v>45013</v>
      </c>
      <c r="H49" s="40">
        <v>1100000</v>
      </c>
      <c r="I49" s="57">
        <f t="shared" si="9"/>
        <v>71200</v>
      </c>
      <c r="J49" s="58">
        <f t="shared" si="10"/>
        <v>5069440000</v>
      </c>
      <c r="K49" s="57">
        <f t="shared" si="11"/>
        <v>590004.39267015702</v>
      </c>
      <c r="L49" s="57">
        <f t="shared" si="12"/>
        <v>509995.60732984298</v>
      </c>
      <c r="M49" s="58">
        <f t="shared" si="13"/>
        <v>260095519495.73538</v>
      </c>
      <c r="N49" s="59">
        <f t="shared" si="14"/>
        <v>7.7543461597424423E-2</v>
      </c>
      <c r="O49" s="26">
        <f t="shared" si="15"/>
        <v>8.9606581998279422E-2</v>
      </c>
      <c r="P49" s="26">
        <f t="shared" si="16"/>
        <v>8.0293395374143733E-3</v>
      </c>
    </row>
    <row r="50" spans="1:16" x14ac:dyDescent="0.3">
      <c r="A50" s="23">
        <f t="shared" si="17"/>
        <v>37</v>
      </c>
      <c r="C50" s="40">
        <v>18131731412</v>
      </c>
      <c r="D50" s="39" t="s">
        <v>302</v>
      </c>
      <c r="E50" s="40">
        <v>1141200</v>
      </c>
      <c r="F50" s="55">
        <v>1.0374545454545454</v>
      </c>
      <c r="G50" s="56">
        <v>44701</v>
      </c>
      <c r="H50" s="40">
        <v>1100000</v>
      </c>
      <c r="I50" s="57">
        <f t="shared" si="9"/>
        <v>-41200</v>
      </c>
      <c r="J50" s="58">
        <f t="shared" si="10"/>
        <v>1697440000</v>
      </c>
      <c r="K50" s="57">
        <f t="shared" si="11"/>
        <v>590004.39267015702</v>
      </c>
      <c r="L50" s="57">
        <f t="shared" si="12"/>
        <v>509995.60732984298</v>
      </c>
      <c r="M50" s="58">
        <f t="shared" si="13"/>
        <v>260095519495.73538</v>
      </c>
      <c r="N50" s="59">
        <f t="shared" si="14"/>
        <v>2.4638356584393728E-2</v>
      </c>
      <c r="O50" s="26">
        <f t="shared" si="15"/>
        <v>-1.2575236183538729E-2</v>
      </c>
      <c r="P50" s="26">
        <f t="shared" si="16"/>
        <v>1.581365650717817E-4</v>
      </c>
    </row>
    <row r="51" spans="1:16" x14ac:dyDescent="0.3">
      <c r="A51" s="23">
        <f t="shared" si="17"/>
        <v>38</v>
      </c>
      <c r="C51" s="40">
        <v>18131842408</v>
      </c>
      <c r="D51" s="41" t="s">
        <v>302</v>
      </c>
      <c r="E51" s="40">
        <v>1023200</v>
      </c>
      <c r="F51" s="55">
        <v>1.0770526315789473</v>
      </c>
      <c r="G51" s="60">
        <v>44868</v>
      </c>
      <c r="H51" s="40">
        <v>950000</v>
      </c>
      <c r="I51" s="57">
        <f t="shared" si="9"/>
        <v>-73200</v>
      </c>
      <c r="J51" s="58">
        <f t="shared" si="10"/>
        <v>5358240000</v>
      </c>
      <c r="K51" s="57">
        <f t="shared" si="11"/>
        <v>590004.39267015702</v>
      </c>
      <c r="L51" s="57">
        <f t="shared" si="12"/>
        <v>359995.60732984298</v>
      </c>
      <c r="M51" s="58">
        <f t="shared" si="13"/>
        <v>129596837296.7825</v>
      </c>
      <c r="N51" s="59">
        <f t="shared" si="14"/>
        <v>6.4236442708795582E-2</v>
      </c>
      <c r="O51" s="26">
        <f t="shared" si="15"/>
        <v>-5.2173322307940584E-2</v>
      </c>
      <c r="P51" s="26">
        <f t="shared" si="16"/>
        <v>2.7220555606482506E-3</v>
      </c>
    </row>
    <row r="52" spans="1:16" x14ac:dyDescent="0.3">
      <c r="A52" s="23">
        <f t="shared" si="17"/>
        <v>39</v>
      </c>
      <c r="C52" s="40">
        <v>18131643472</v>
      </c>
      <c r="D52" s="41" t="s">
        <v>302</v>
      </c>
      <c r="E52" s="40">
        <v>918500</v>
      </c>
      <c r="F52" s="55">
        <v>0.92871587462082916</v>
      </c>
      <c r="G52" s="60">
        <v>44305</v>
      </c>
      <c r="H52" s="40">
        <v>989000</v>
      </c>
      <c r="I52" s="57">
        <f t="shared" si="9"/>
        <v>70500</v>
      </c>
      <c r="J52" s="58">
        <f t="shared" si="10"/>
        <v>4970250000</v>
      </c>
      <c r="K52" s="57">
        <f t="shared" si="11"/>
        <v>590004.39267015702</v>
      </c>
      <c r="L52" s="57">
        <f t="shared" si="12"/>
        <v>398995.60732984298</v>
      </c>
      <c r="M52" s="58">
        <f t="shared" si="13"/>
        <v>159197494668.51025</v>
      </c>
      <c r="N52" s="59">
        <f t="shared" si="14"/>
        <v>8.4100314249322516E-2</v>
      </c>
      <c r="O52" s="26">
        <f t="shared" si="15"/>
        <v>9.6163434650177515E-2</v>
      </c>
      <c r="P52" s="26">
        <f t="shared" si="16"/>
        <v>9.2474061637189617E-3</v>
      </c>
    </row>
    <row r="53" spans="1:16" x14ac:dyDescent="0.3">
      <c r="A53" s="23">
        <f t="shared" si="17"/>
        <v>40</v>
      </c>
      <c r="C53" s="40">
        <v>18131923410</v>
      </c>
      <c r="D53" s="41" t="s">
        <v>302</v>
      </c>
      <c r="E53" s="40">
        <v>934300</v>
      </c>
      <c r="F53" s="55">
        <v>0.9732291666666667</v>
      </c>
      <c r="G53" s="60">
        <v>44897</v>
      </c>
      <c r="H53" s="40">
        <v>960000</v>
      </c>
      <c r="I53" s="57">
        <f t="shared" si="9"/>
        <v>25700</v>
      </c>
      <c r="J53" s="58">
        <f t="shared" si="10"/>
        <v>660490000</v>
      </c>
      <c r="K53" s="57">
        <f t="shared" si="11"/>
        <v>590004.39267015702</v>
      </c>
      <c r="L53" s="57">
        <f t="shared" si="12"/>
        <v>369995.60732984298</v>
      </c>
      <c r="M53" s="58">
        <f t="shared" si="13"/>
        <v>136896749443.37936</v>
      </c>
      <c r="N53" s="59">
        <f t="shared" si="14"/>
        <v>3.9587022203484978E-2</v>
      </c>
      <c r="O53" s="26">
        <f t="shared" si="15"/>
        <v>5.1650142604339977E-2</v>
      </c>
      <c r="P53" s="26">
        <f t="shared" si="16"/>
        <v>2.6677372310486558E-3</v>
      </c>
    </row>
    <row r="54" spans="1:16" x14ac:dyDescent="0.3">
      <c r="A54" s="23">
        <f t="shared" si="17"/>
        <v>41</v>
      </c>
      <c r="C54" s="40">
        <v>18131531496</v>
      </c>
      <c r="D54" s="39" t="s">
        <v>302</v>
      </c>
      <c r="E54" s="40">
        <v>676000</v>
      </c>
      <c r="F54" s="55">
        <v>1.0755630795471178</v>
      </c>
      <c r="G54" s="56">
        <v>44880</v>
      </c>
      <c r="H54" s="40">
        <v>628508</v>
      </c>
      <c r="I54" s="57">
        <f t="shared" si="9"/>
        <v>-47492</v>
      </c>
      <c r="J54" s="58">
        <f t="shared" si="10"/>
        <v>2255490064</v>
      </c>
      <c r="K54" s="57">
        <f t="shared" si="11"/>
        <v>590004.39267015702</v>
      </c>
      <c r="L54" s="57">
        <f t="shared" si="12"/>
        <v>38503.607329842984</v>
      </c>
      <c r="M54" s="58">
        <f t="shared" si="13"/>
        <v>1482527777.4107382</v>
      </c>
      <c r="N54" s="59">
        <f t="shared" si="14"/>
        <v>6.2746890676966149E-2</v>
      </c>
      <c r="O54" s="26">
        <f t="shared" si="15"/>
        <v>-5.0683770276111151E-2</v>
      </c>
      <c r="P54" s="26">
        <f t="shared" si="16"/>
        <v>2.5688445694016081E-3</v>
      </c>
    </row>
    <row r="55" spans="1:16" x14ac:dyDescent="0.3">
      <c r="A55" s="23">
        <f t="shared" si="17"/>
        <v>42</v>
      </c>
      <c r="C55" s="40">
        <v>18131642439</v>
      </c>
      <c r="D55" s="41" t="s">
        <v>302</v>
      </c>
      <c r="E55" s="40">
        <v>1200800</v>
      </c>
      <c r="F55" s="55">
        <v>1.0916363636363637</v>
      </c>
      <c r="G55" s="56">
        <v>44468</v>
      </c>
      <c r="H55" s="40">
        <v>1100000</v>
      </c>
      <c r="I55" s="57">
        <f t="shared" si="9"/>
        <v>-100800</v>
      </c>
      <c r="J55" s="58">
        <f t="shared" si="10"/>
        <v>10160640000</v>
      </c>
      <c r="K55" s="57">
        <f t="shared" si="11"/>
        <v>590004.39267015702</v>
      </c>
      <c r="L55" s="57">
        <f t="shared" si="12"/>
        <v>509995.60732984298</v>
      </c>
      <c r="M55" s="58">
        <f t="shared" si="13"/>
        <v>260095519495.73538</v>
      </c>
      <c r="N55" s="59">
        <f t="shared" si="14"/>
        <v>7.8820174766212059E-2</v>
      </c>
      <c r="O55" s="26">
        <f t="shared" si="15"/>
        <v>-6.675705436535706E-2</v>
      </c>
      <c r="P55" s="26">
        <f t="shared" si="16"/>
        <v>4.456504307539238E-3</v>
      </c>
    </row>
    <row r="56" spans="1:16" x14ac:dyDescent="0.3">
      <c r="A56" s="23">
        <f t="shared" si="17"/>
        <v>43</v>
      </c>
      <c r="C56" s="40">
        <v>18131642439</v>
      </c>
      <c r="D56" s="41" t="s">
        <v>302</v>
      </c>
      <c r="E56" s="40">
        <v>1292300</v>
      </c>
      <c r="F56" s="55">
        <v>1.0769166666666667</v>
      </c>
      <c r="G56" s="56">
        <v>45264</v>
      </c>
      <c r="H56" s="40">
        <v>1200000</v>
      </c>
      <c r="I56" s="57">
        <f t="shared" si="9"/>
        <v>-92300</v>
      </c>
      <c r="J56" s="58">
        <f t="shared" si="10"/>
        <v>8519290000</v>
      </c>
      <c r="K56" s="57">
        <f t="shared" si="11"/>
        <v>590004.39267015702</v>
      </c>
      <c r="L56" s="57">
        <f t="shared" si="12"/>
        <v>609995.60732984298</v>
      </c>
      <c r="M56" s="58">
        <f t="shared" si="13"/>
        <v>372094640961.70398</v>
      </c>
      <c r="N56" s="59">
        <f t="shared" si="14"/>
        <v>6.4100477796515065E-2</v>
      </c>
      <c r="O56" s="26">
        <f t="shared" si="15"/>
        <v>-5.2037357395660067E-2</v>
      </c>
      <c r="P56" s="26">
        <f t="shared" si="16"/>
        <v>2.7078865647236572E-3</v>
      </c>
    </row>
    <row r="57" spans="1:16" x14ac:dyDescent="0.3">
      <c r="A57" s="23">
        <f t="shared" si="17"/>
        <v>44</v>
      </c>
      <c r="C57" s="40">
        <v>18131723412</v>
      </c>
      <c r="D57" s="41" t="s">
        <v>302</v>
      </c>
      <c r="E57" s="40">
        <v>1324500</v>
      </c>
      <c r="F57" s="55">
        <v>0.98111111111111116</v>
      </c>
      <c r="G57" s="61">
        <v>44690</v>
      </c>
      <c r="H57" s="40">
        <v>1350000</v>
      </c>
      <c r="I57" s="57">
        <f t="shared" si="9"/>
        <v>25500</v>
      </c>
      <c r="J57" s="58">
        <f t="shared" si="10"/>
        <v>650250000</v>
      </c>
      <c r="K57" s="57">
        <f t="shared" si="11"/>
        <v>590004.39267015702</v>
      </c>
      <c r="L57" s="57">
        <f t="shared" si="12"/>
        <v>759995.60732984298</v>
      </c>
      <c r="M57" s="58">
        <f t="shared" si="13"/>
        <v>577593323160.65686</v>
      </c>
      <c r="N57" s="59">
        <f t="shared" si="14"/>
        <v>3.1705077759040523E-2</v>
      </c>
      <c r="O57" s="26">
        <f t="shared" si="15"/>
        <v>4.3768198159895522E-2</v>
      </c>
      <c r="P57" s="26">
        <f t="shared" si="16"/>
        <v>1.9156551701638817E-3</v>
      </c>
    </row>
    <row r="58" spans="1:16" x14ac:dyDescent="0.3">
      <c r="A58" s="23">
        <f t="shared" si="17"/>
        <v>45</v>
      </c>
      <c r="C58" s="40">
        <v>18131744436</v>
      </c>
      <c r="D58" s="39" t="s">
        <v>302</v>
      </c>
      <c r="E58" s="40">
        <v>1199100</v>
      </c>
      <c r="F58" s="55">
        <v>0.92594594594594593</v>
      </c>
      <c r="G58" s="62">
        <v>45090</v>
      </c>
      <c r="H58" s="40">
        <v>1295000</v>
      </c>
      <c r="I58" s="57">
        <f t="shared" si="9"/>
        <v>95900</v>
      </c>
      <c r="J58" s="58">
        <f t="shared" si="10"/>
        <v>9196810000</v>
      </c>
      <c r="K58" s="57">
        <f t="shared" si="11"/>
        <v>590004.39267015702</v>
      </c>
      <c r="L58" s="57">
        <f t="shared" si="12"/>
        <v>704995.60732984298</v>
      </c>
      <c r="M58" s="58">
        <f t="shared" si="13"/>
        <v>497018806354.37415</v>
      </c>
      <c r="N58" s="59">
        <f t="shared" si="14"/>
        <v>8.6870242924205754E-2</v>
      </c>
      <c r="O58" s="26">
        <f t="shared" si="15"/>
        <v>9.8933363325060752E-2</v>
      </c>
      <c r="P58" s="26">
        <f t="shared" si="16"/>
        <v>9.7878103788084751E-3</v>
      </c>
    </row>
    <row r="59" spans="1:16" x14ac:dyDescent="0.3">
      <c r="A59" s="23">
        <f t="shared" si="17"/>
        <v>46</v>
      </c>
      <c r="C59" s="40">
        <v>18131734436</v>
      </c>
      <c r="D59" s="41" t="s">
        <v>302</v>
      </c>
      <c r="E59" s="40">
        <v>1393500</v>
      </c>
      <c r="F59" s="55">
        <v>0.95119453924914676</v>
      </c>
      <c r="G59" s="62">
        <v>44672</v>
      </c>
      <c r="H59" s="40">
        <v>1465000</v>
      </c>
      <c r="I59" s="57">
        <f t="shared" si="9"/>
        <v>71500</v>
      </c>
      <c r="J59" s="58">
        <f t="shared" si="10"/>
        <v>5112250000</v>
      </c>
      <c r="K59" s="57">
        <f t="shared" si="11"/>
        <v>590004.39267015702</v>
      </c>
      <c r="L59" s="57">
        <f t="shared" si="12"/>
        <v>874995.60732984298</v>
      </c>
      <c r="M59" s="58">
        <f t="shared" si="13"/>
        <v>765617312846.52075</v>
      </c>
      <c r="N59" s="59">
        <f t="shared" si="14"/>
        <v>6.1621649621004915E-2</v>
      </c>
      <c r="O59" s="26">
        <f t="shared" si="15"/>
        <v>7.3684770021859913E-2</v>
      </c>
      <c r="P59" s="26">
        <f t="shared" si="16"/>
        <v>5.4294453331743854E-3</v>
      </c>
    </row>
    <row r="60" spans="1:16" x14ac:dyDescent="0.3">
      <c r="A60" s="23">
        <f t="shared" si="17"/>
        <v>47</v>
      </c>
      <c r="C60" s="40">
        <v>18131533476</v>
      </c>
      <c r="D60" s="39" t="s">
        <v>302</v>
      </c>
      <c r="E60" s="40">
        <v>377800</v>
      </c>
      <c r="F60" s="55">
        <v>0.98129870129870134</v>
      </c>
      <c r="G60" s="62">
        <v>44488</v>
      </c>
      <c r="H60" s="40">
        <v>385000</v>
      </c>
      <c r="I60" s="57">
        <f t="shared" si="9"/>
        <v>7200</v>
      </c>
      <c r="J60" s="58">
        <f t="shared" si="10"/>
        <v>51840000</v>
      </c>
      <c r="K60" s="57">
        <f t="shared" si="11"/>
        <v>590004.39267015702</v>
      </c>
      <c r="L60" s="57">
        <f t="shared" si="12"/>
        <v>-205004.39267015702</v>
      </c>
      <c r="M60" s="58">
        <f t="shared" si="13"/>
        <v>42026801014.059929</v>
      </c>
      <c r="N60" s="59">
        <f t="shared" si="14"/>
        <v>3.1517487571450342E-2</v>
      </c>
      <c r="O60" s="26">
        <f t="shared" si="15"/>
        <v>4.3580607972305341E-2</v>
      </c>
      <c r="P60" s="26">
        <f t="shared" si="16"/>
        <v>1.8992693912357639E-3</v>
      </c>
    </row>
    <row r="61" spans="1:16" x14ac:dyDescent="0.3">
      <c r="A61" s="23">
        <f t="shared" si="17"/>
        <v>48</v>
      </c>
      <c r="C61" s="40">
        <v>18131643424</v>
      </c>
      <c r="D61" s="42" t="s">
        <v>302</v>
      </c>
      <c r="E61" s="40">
        <v>321000</v>
      </c>
      <c r="F61" s="55">
        <v>1.0354838709677419</v>
      </c>
      <c r="G61" s="62">
        <v>44211</v>
      </c>
      <c r="H61" s="40">
        <v>310000</v>
      </c>
      <c r="I61" s="57">
        <f t="shared" si="9"/>
        <v>-11000</v>
      </c>
      <c r="J61" s="58">
        <f t="shared" si="10"/>
        <v>121000000</v>
      </c>
      <c r="K61" s="57">
        <f t="shared" si="11"/>
        <v>590004.39267015702</v>
      </c>
      <c r="L61" s="57">
        <f t="shared" si="12"/>
        <v>-280004.39267015702</v>
      </c>
      <c r="M61" s="58">
        <f t="shared" si="13"/>
        <v>78402459914.583481</v>
      </c>
      <c r="N61" s="59">
        <f t="shared" si="14"/>
        <v>2.266768209759018E-2</v>
      </c>
      <c r="O61" s="26">
        <f t="shared" si="15"/>
        <v>-1.0604561696735182E-2</v>
      </c>
      <c r="P61" s="26">
        <f t="shared" si="16"/>
        <v>1.1245672877986296E-4</v>
      </c>
    </row>
    <row r="62" spans="1:16" x14ac:dyDescent="0.3">
      <c r="A62" s="23">
        <f t="shared" si="17"/>
        <v>49</v>
      </c>
      <c r="C62" s="40">
        <v>18131643408</v>
      </c>
      <c r="D62" s="39" t="s">
        <v>302</v>
      </c>
      <c r="E62" s="40">
        <v>446400</v>
      </c>
      <c r="F62" s="55">
        <v>1.1594805194805196</v>
      </c>
      <c r="G62" s="62">
        <v>44495</v>
      </c>
      <c r="H62" s="40">
        <v>385000</v>
      </c>
      <c r="I62" s="57">
        <f t="shared" si="9"/>
        <v>-61400</v>
      </c>
      <c r="J62" s="58">
        <f t="shared" si="10"/>
        <v>3769960000</v>
      </c>
      <c r="K62" s="57">
        <f t="shared" si="11"/>
        <v>590004.39267015702</v>
      </c>
      <c r="L62" s="57">
        <f t="shared" si="12"/>
        <v>-205004.39267015702</v>
      </c>
      <c r="M62" s="58">
        <f t="shared" si="13"/>
        <v>42026801014.059929</v>
      </c>
      <c r="N62" s="59">
        <f t="shared" si="14"/>
        <v>0.14666433061036788</v>
      </c>
      <c r="O62" s="26">
        <f t="shared" si="15"/>
        <v>-0.13460121020951288</v>
      </c>
      <c r="P62" s="26">
        <f t="shared" si="16"/>
        <v>1.8117485789865474E-2</v>
      </c>
    </row>
    <row r="63" spans="1:16" x14ac:dyDescent="0.3">
      <c r="A63" s="23">
        <f t="shared" si="17"/>
        <v>50</v>
      </c>
      <c r="C63" s="40">
        <v>18131532484</v>
      </c>
      <c r="D63" s="39" t="s">
        <v>302</v>
      </c>
      <c r="E63" s="40">
        <v>464600</v>
      </c>
      <c r="F63" s="55">
        <v>1.2067532467532467</v>
      </c>
      <c r="G63" s="62">
        <v>45258</v>
      </c>
      <c r="H63" s="40">
        <v>385000</v>
      </c>
      <c r="I63" s="57">
        <f t="shared" si="9"/>
        <v>-79600</v>
      </c>
      <c r="J63" s="58">
        <f t="shared" si="10"/>
        <v>6336160000</v>
      </c>
      <c r="K63" s="57">
        <f t="shared" si="11"/>
        <v>590004.39267015702</v>
      </c>
      <c r="L63" s="57">
        <f t="shared" si="12"/>
        <v>-205004.39267015702</v>
      </c>
      <c r="M63" s="58">
        <f t="shared" si="13"/>
        <v>42026801014.059929</v>
      </c>
      <c r="N63" s="59">
        <f t="shared" si="14"/>
        <v>0.19393705788309501</v>
      </c>
      <c r="O63" s="26">
        <f t="shared" si="15"/>
        <v>-0.18187393748224001</v>
      </c>
      <c r="P63" s="26">
        <f t="shared" si="16"/>
        <v>3.3078129135293746E-2</v>
      </c>
    </row>
    <row r="64" spans="1:16" x14ac:dyDescent="0.3">
      <c r="A64" s="23">
        <f t="shared" si="17"/>
        <v>51</v>
      </c>
      <c r="C64" s="40">
        <v>18131532484</v>
      </c>
      <c r="D64" s="39" t="s">
        <v>302</v>
      </c>
      <c r="E64" s="40">
        <v>383700</v>
      </c>
      <c r="F64" s="55">
        <v>0.98637532133676098</v>
      </c>
      <c r="G64" s="62">
        <v>44357</v>
      </c>
      <c r="H64" s="40">
        <v>389000</v>
      </c>
      <c r="I64" s="57">
        <f t="shared" si="9"/>
        <v>5300</v>
      </c>
      <c r="J64" s="58">
        <f t="shared" si="10"/>
        <v>28090000</v>
      </c>
      <c r="K64" s="57">
        <f t="shared" si="11"/>
        <v>590004.39267015702</v>
      </c>
      <c r="L64" s="57">
        <f t="shared" si="12"/>
        <v>-201004.39267015702</v>
      </c>
      <c r="M64" s="58">
        <f t="shared" si="13"/>
        <v>40402765872.698669</v>
      </c>
      <c r="N64" s="59">
        <f t="shared" si="14"/>
        <v>2.64408675333907E-2</v>
      </c>
      <c r="O64" s="26">
        <f t="shared" si="15"/>
        <v>3.8503987934245698E-2</v>
      </c>
      <c r="P64" s="26">
        <f t="shared" si="16"/>
        <v>1.4825570868405382E-3</v>
      </c>
    </row>
    <row r="65" spans="1:16" x14ac:dyDescent="0.3">
      <c r="A65" s="23">
        <f t="shared" si="17"/>
        <v>52</v>
      </c>
      <c r="C65" s="40">
        <v>18131644535</v>
      </c>
      <c r="D65" s="39" t="s">
        <v>302</v>
      </c>
      <c r="E65" s="40">
        <v>332900</v>
      </c>
      <c r="F65" s="55">
        <v>1.0568253968253969</v>
      </c>
      <c r="G65" s="62">
        <v>44442</v>
      </c>
      <c r="H65" s="40">
        <v>315000</v>
      </c>
      <c r="I65" s="57">
        <f t="shared" si="9"/>
        <v>-17900</v>
      </c>
      <c r="J65" s="58">
        <f t="shared" si="10"/>
        <v>320410000</v>
      </c>
      <c r="K65" s="57">
        <f t="shared" si="11"/>
        <v>590004.39267015702</v>
      </c>
      <c r="L65" s="57">
        <f t="shared" si="12"/>
        <v>-275004.39267015702</v>
      </c>
      <c r="M65" s="58">
        <f t="shared" si="13"/>
        <v>75627415987.881912</v>
      </c>
      <c r="N65" s="59">
        <f t="shared" si="14"/>
        <v>4.4009207955245211E-2</v>
      </c>
      <c r="O65" s="26">
        <f t="shared" si="15"/>
        <v>-3.1946087554390212E-2</v>
      </c>
      <c r="P65" s="26">
        <f t="shared" si="16"/>
        <v>1.0205525100327652E-3</v>
      </c>
    </row>
    <row r="66" spans="1:16" x14ac:dyDescent="0.3">
      <c r="A66" s="23">
        <f t="shared" si="17"/>
        <v>53</v>
      </c>
      <c r="C66" s="40">
        <v>18131644534</v>
      </c>
      <c r="D66" s="41" t="s">
        <v>302</v>
      </c>
      <c r="E66" s="40">
        <v>433700</v>
      </c>
      <c r="F66" s="55">
        <v>1.0735148514851485</v>
      </c>
      <c r="G66" s="61">
        <v>45229</v>
      </c>
      <c r="H66" s="40">
        <v>404000</v>
      </c>
      <c r="I66" s="57">
        <f t="shared" si="9"/>
        <v>-29700</v>
      </c>
      <c r="J66" s="58">
        <f t="shared" si="10"/>
        <v>882090000</v>
      </c>
      <c r="K66" s="57">
        <f t="shared" si="11"/>
        <v>590004.39267015702</v>
      </c>
      <c r="L66" s="57">
        <f t="shared" si="12"/>
        <v>-186004.39267015702</v>
      </c>
      <c r="M66" s="58">
        <f t="shared" si="13"/>
        <v>34597634092.593964</v>
      </c>
      <c r="N66" s="59">
        <f t="shared" si="14"/>
        <v>6.069866261499679E-2</v>
      </c>
      <c r="O66" s="26">
        <f t="shared" si="15"/>
        <v>-4.8635542214141791E-2</v>
      </c>
      <c r="P66" s="26">
        <f t="shared" si="16"/>
        <v>2.3654159664635681E-3</v>
      </c>
    </row>
    <row r="67" spans="1:16" x14ac:dyDescent="0.3">
      <c r="A67" s="23">
        <f t="shared" si="17"/>
        <v>54</v>
      </c>
      <c r="C67" s="40">
        <v>18131532498</v>
      </c>
      <c r="D67" s="39" t="s">
        <v>302</v>
      </c>
      <c r="E67" s="40">
        <v>501500</v>
      </c>
      <c r="F67" s="55">
        <v>1.0557894736842106</v>
      </c>
      <c r="G67" s="62">
        <v>44487</v>
      </c>
      <c r="H67" s="40">
        <v>475000</v>
      </c>
      <c r="I67" s="57">
        <f t="shared" si="9"/>
        <v>-26500</v>
      </c>
      <c r="J67" s="58">
        <f t="shared" si="10"/>
        <v>702250000</v>
      </c>
      <c r="K67" s="57">
        <f t="shared" si="11"/>
        <v>590004.39267015702</v>
      </c>
      <c r="L67" s="57">
        <f t="shared" si="12"/>
        <v>-115004.39267015702</v>
      </c>
      <c r="M67" s="58">
        <f t="shared" si="13"/>
        <v>13226010333.431665</v>
      </c>
      <c r="N67" s="59">
        <f t="shared" si="14"/>
        <v>4.2973284814058932E-2</v>
      </c>
      <c r="O67" s="26">
        <f t="shared" si="15"/>
        <v>-3.0910164413203933E-2</v>
      </c>
      <c r="P67" s="26">
        <f t="shared" si="16"/>
        <v>9.5543826405129881E-4</v>
      </c>
    </row>
    <row r="68" spans="1:16" x14ac:dyDescent="0.3">
      <c r="A68" s="23">
        <f t="shared" si="17"/>
        <v>55</v>
      </c>
      <c r="C68" s="40">
        <v>18131532464</v>
      </c>
      <c r="D68" s="39" t="s">
        <v>302</v>
      </c>
      <c r="E68" s="40">
        <v>344300</v>
      </c>
      <c r="F68" s="55">
        <v>0.98371428571428576</v>
      </c>
      <c r="G68" s="62">
        <v>44539</v>
      </c>
      <c r="H68" s="40">
        <v>350000</v>
      </c>
      <c r="I68" s="57">
        <f t="shared" si="9"/>
        <v>5700</v>
      </c>
      <c r="J68" s="58">
        <f t="shared" si="10"/>
        <v>32490000</v>
      </c>
      <c r="K68" s="57">
        <f t="shared" si="11"/>
        <v>590004.39267015702</v>
      </c>
      <c r="L68" s="57">
        <f t="shared" si="12"/>
        <v>-240004.39267015702</v>
      </c>
      <c r="M68" s="58">
        <f t="shared" si="13"/>
        <v>57602108500.970917</v>
      </c>
      <c r="N68" s="59">
        <f t="shared" si="14"/>
        <v>2.9101903155865916E-2</v>
      </c>
      <c r="O68" s="26">
        <f t="shared" si="15"/>
        <v>4.1165023556720914E-2</v>
      </c>
      <c r="P68" s="26">
        <f t="shared" si="16"/>
        <v>1.6945591644253878E-3</v>
      </c>
    </row>
    <row r="69" spans="1:16" x14ac:dyDescent="0.3">
      <c r="A69" s="23">
        <f t="shared" si="17"/>
        <v>56</v>
      </c>
      <c r="C69" s="40">
        <v>18131533413</v>
      </c>
      <c r="D69" s="41" t="s">
        <v>302</v>
      </c>
      <c r="E69" s="40">
        <v>357800</v>
      </c>
      <c r="F69" s="55">
        <v>0.88345679012345679</v>
      </c>
      <c r="G69" s="61">
        <v>45093</v>
      </c>
      <c r="H69" s="40">
        <v>405000</v>
      </c>
      <c r="I69" s="57">
        <f t="shared" si="9"/>
        <v>47200</v>
      </c>
      <c r="J69" s="58">
        <f t="shared" si="10"/>
        <v>2227840000</v>
      </c>
      <c r="K69" s="57">
        <f t="shared" si="11"/>
        <v>590004.39267015702</v>
      </c>
      <c r="L69" s="57">
        <f t="shared" si="12"/>
        <v>-185004.39267015702</v>
      </c>
      <c r="M69" s="58">
        <f t="shared" si="13"/>
        <v>34226625307.253647</v>
      </c>
      <c r="N69" s="59">
        <f t="shared" si="14"/>
        <v>0.12935939874669489</v>
      </c>
      <c r="O69" s="26">
        <f t="shared" si="15"/>
        <v>0.14142251914754989</v>
      </c>
      <c r="P69" s="26">
        <f t="shared" si="16"/>
        <v>2.0000328922039113E-2</v>
      </c>
    </row>
    <row r="70" spans="1:16" x14ac:dyDescent="0.3">
      <c r="A70" s="23">
        <f t="shared" si="17"/>
        <v>57</v>
      </c>
      <c r="C70" s="40">
        <v>18131644538</v>
      </c>
      <c r="D70" s="41" t="s">
        <v>302</v>
      </c>
      <c r="E70" s="40">
        <v>472100</v>
      </c>
      <c r="F70" s="55">
        <v>1.0098395721925133</v>
      </c>
      <c r="G70" s="61">
        <v>44496</v>
      </c>
      <c r="H70" s="40">
        <v>467500</v>
      </c>
      <c r="I70" s="57">
        <f t="shared" si="9"/>
        <v>-4600</v>
      </c>
      <c r="J70" s="58">
        <f t="shared" si="10"/>
        <v>21160000</v>
      </c>
      <c r="K70" s="57">
        <f t="shared" si="11"/>
        <v>590004.39267015702</v>
      </c>
      <c r="L70" s="57">
        <f t="shared" si="12"/>
        <v>-122504.39267015702</v>
      </c>
      <c r="M70" s="58">
        <f t="shared" si="13"/>
        <v>15007326223.48402</v>
      </c>
      <c r="N70" s="59">
        <f t="shared" si="14"/>
        <v>2.9766166776383773E-3</v>
      </c>
      <c r="O70" s="26">
        <f t="shared" si="15"/>
        <v>1.5039737078493376E-2</v>
      </c>
      <c r="P70" s="26">
        <f t="shared" si="16"/>
        <v>2.2619369139020848E-4</v>
      </c>
    </row>
    <row r="71" spans="1:16" x14ac:dyDescent="0.3">
      <c r="A71" s="23">
        <f t="shared" si="17"/>
        <v>58</v>
      </c>
      <c r="C71" s="40">
        <v>18131644429</v>
      </c>
      <c r="D71" s="39" t="s">
        <v>302</v>
      </c>
      <c r="E71" s="40">
        <v>271800</v>
      </c>
      <c r="F71" s="55">
        <v>0.90600000000000003</v>
      </c>
      <c r="G71" s="62">
        <v>44442</v>
      </c>
      <c r="H71" s="40">
        <v>300000</v>
      </c>
      <c r="I71" s="57">
        <f t="shared" si="9"/>
        <v>28200</v>
      </c>
      <c r="J71" s="58">
        <f t="shared" si="10"/>
        <v>795240000</v>
      </c>
      <c r="K71" s="57">
        <f t="shared" si="11"/>
        <v>590004.39267015702</v>
      </c>
      <c r="L71" s="57">
        <f t="shared" si="12"/>
        <v>-290004.39267015702</v>
      </c>
      <c r="M71" s="58">
        <f t="shared" si="13"/>
        <v>84102547767.986618</v>
      </c>
      <c r="N71" s="59">
        <f t="shared" si="14"/>
        <v>0.10681618887015165</v>
      </c>
      <c r="O71" s="26">
        <f t="shared" si="15"/>
        <v>0.11887930927100665</v>
      </c>
      <c r="P71" s="26">
        <f t="shared" si="16"/>
        <v>1.4132290172751649E-2</v>
      </c>
    </row>
    <row r="72" spans="1:16" x14ac:dyDescent="0.3">
      <c r="A72" s="23">
        <f t="shared" si="17"/>
        <v>59</v>
      </c>
      <c r="C72" s="40">
        <v>18131644431</v>
      </c>
      <c r="D72" s="39" t="s">
        <v>302</v>
      </c>
      <c r="E72" s="40">
        <v>324700</v>
      </c>
      <c r="F72" s="55">
        <v>1.1196551724137931</v>
      </c>
      <c r="G72" s="62">
        <v>45218</v>
      </c>
      <c r="H72" s="40">
        <v>290000</v>
      </c>
      <c r="I72" s="57">
        <f t="shared" si="9"/>
        <v>-34700</v>
      </c>
      <c r="J72" s="58">
        <f t="shared" si="10"/>
        <v>1204090000</v>
      </c>
      <c r="K72" s="57">
        <f t="shared" si="11"/>
        <v>590004.39267015702</v>
      </c>
      <c r="L72" s="57">
        <f t="shared" si="12"/>
        <v>-300004.39267015702</v>
      </c>
      <c r="M72" s="58">
        <f t="shared" si="13"/>
        <v>90002635621.389755</v>
      </c>
      <c r="N72" s="59">
        <f t="shared" si="14"/>
        <v>0.10683898354364141</v>
      </c>
      <c r="O72" s="26">
        <f t="shared" si="15"/>
        <v>-9.477586314278641E-2</v>
      </c>
      <c r="P72" s="26">
        <f t="shared" si="16"/>
        <v>8.9824642344601795E-3</v>
      </c>
    </row>
    <row r="73" spans="1:16" x14ac:dyDescent="0.3">
      <c r="A73" s="23">
        <f t="shared" si="17"/>
        <v>60</v>
      </c>
      <c r="C73" s="40">
        <v>18131644430</v>
      </c>
      <c r="D73" s="39" t="s">
        <v>302</v>
      </c>
      <c r="E73" s="40">
        <v>278900</v>
      </c>
      <c r="F73" s="55">
        <v>0.91143790849673201</v>
      </c>
      <c r="G73" s="62">
        <v>44417</v>
      </c>
      <c r="H73" s="40">
        <v>306000</v>
      </c>
      <c r="I73" s="57">
        <f t="shared" si="9"/>
        <v>27100</v>
      </c>
      <c r="J73" s="58">
        <f t="shared" si="10"/>
        <v>734410000</v>
      </c>
      <c r="K73" s="57">
        <f t="shared" si="11"/>
        <v>590004.39267015702</v>
      </c>
      <c r="L73" s="57">
        <f t="shared" si="12"/>
        <v>-284004.39267015702</v>
      </c>
      <c r="M73" s="58">
        <f t="shared" si="13"/>
        <v>80658495055.944733</v>
      </c>
      <c r="N73" s="59">
        <f t="shared" si="14"/>
        <v>0.10137828037341967</v>
      </c>
      <c r="O73" s="26">
        <f t="shared" si="15"/>
        <v>0.11344140077427467</v>
      </c>
      <c r="P73" s="26">
        <f t="shared" si="16"/>
        <v>1.2868951409629606E-2</v>
      </c>
    </row>
    <row r="74" spans="1:16" x14ac:dyDescent="0.3">
      <c r="A74" s="23">
        <f t="shared" si="17"/>
        <v>61</v>
      </c>
      <c r="C74" s="40">
        <v>18131524442</v>
      </c>
      <c r="D74" s="39" t="s">
        <v>302</v>
      </c>
      <c r="E74" s="40">
        <v>428700</v>
      </c>
      <c r="F74" s="55">
        <v>0.95266666666666666</v>
      </c>
      <c r="G74" s="62">
        <v>44530</v>
      </c>
      <c r="H74" s="40">
        <v>450000</v>
      </c>
      <c r="I74" s="57">
        <f t="shared" si="9"/>
        <v>21300</v>
      </c>
      <c r="J74" s="58">
        <f t="shared" si="10"/>
        <v>453690000</v>
      </c>
      <c r="K74" s="57">
        <f t="shared" si="11"/>
        <v>590004.39267015702</v>
      </c>
      <c r="L74" s="57">
        <f t="shared" si="12"/>
        <v>-140004.39267015702</v>
      </c>
      <c r="M74" s="58">
        <f t="shared" si="13"/>
        <v>19601229966.939514</v>
      </c>
      <c r="N74" s="59">
        <f t="shared" si="14"/>
        <v>6.0149522203485017E-2</v>
      </c>
      <c r="O74" s="26">
        <f t="shared" si="15"/>
        <v>7.2212642604340016E-2</v>
      </c>
      <c r="P74" s="26">
        <f t="shared" si="16"/>
        <v>5.2146657519021424E-3</v>
      </c>
    </row>
    <row r="75" spans="1:16" x14ac:dyDescent="0.3">
      <c r="A75" s="23">
        <f t="shared" si="17"/>
        <v>62</v>
      </c>
      <c r="C75" s="40">
        <v>18131642410</v>
      </c>
      <c r="D75" s="41" t="s">
        <v>302</v>
      </c>
      <c r="E75" s="40">
        <v>307400</v>
      </c>
      <c r="F75" s="55">
        <v>0.85686411149825781</v>
      </c>
      <c r="G75" s="62">
        <v>44287</v>
      </c>
      <c r="H75" s="40">
        <v>358750</v>
      </c>
      <c r="I75" s="57">
        <f t="shared" si="9"/>
        <v>51350</v>
      </c>
      <c r="J75" s="58">
        <f t="shared" si="10"/>
        <v>2636822500</v>
      </c>
      <c r="K75" s="57">
        <f t="shared" si="11"/>
        <v>590004.39267015702</v>
      </c>
      <c r="L75" s="57">
        <f t="shared" si="12"/>
        <v>-231254.39267015702</v>
      </c>
      <c r="M75" s="58">
        <f t="shared" si="13"/>
        <v>53478594129.243172</v>
      </c>
      <c r="N75" s="59">
        <f t="shared" si="14"/>
        <v>0.15595207737189387</v>
      </c>
      <c r="O75" s="26">
        <f t="shared" si="15"/>
        <v>0.16801519777274887</v>
      </c>
      <c r="P75" s="26">
        <f t="shared" si="16"/>
        <v>2.8229106682615916E-2</v>
      </c>
    </row>
    <row r="76" spans="1:16" x14ac:dyDescent="0.3">
      <c r="A76" s="23">
        <f t="shared" si="17"/>
        <v>63</v>
      </c>
      <c r="C76" s="40">
        <v>18131613405</v>
      </c>
      <c r="D76" s="39" t="s">
        <v>302</v>
      </c>
      <c r="E76" s="40">
        <v>372800</v>
      </c>
      <c r="F76" s="55">
        <v>1.1128358208955225</v>
      </c>
      <c r="G76" s="62">
        <v>44344</v>
      </c>
      <c r="H76" s="40">
        <v>335000</v>
      </c>
      <c r="I76" s="57">
        <f t="shared" si="9"/>
        <v>-37800</v>
      </c>
      <c r="J76" s="58">
        <f t="shared" si="10"/>
        <v>1428840000</v>
      </c>
      <c r="K76" s="57">
        <f t="shared" si="11"/>
        <v>590004.39267015702</v>
      </c>
      <c r="L76" s="57">
        <f t="shared" si="12"/>
        <v>-255004.39267015702</v>
      </c>
      <c r="M76" s="58">
        <f t="shared" si="13"/>
        <v>65027240281.07563</v>
      </c>
      <c r="N76" s="59">
        <f t="shared" si="14"/>
        <v>0.10001963202537079</v>
      </c>
      <c r="O76" s="26">
        <f t="shared" si="15"/>
        <v>-8.7956511624515787E-2</v>
      </c>
      <c r="P76" s="26">
        <f t="shared" si="16"/>
        <v>7.7363479371535806E-3</v>
      </c>
    </row>
    <row r="77" spans="1:16" x14ac:dyDescent="0.3">
      <c r="A77" s="23">
        <f t="shared" si="17"/>
        <v>64</v>
      </c>
      <c r="C77" s="40">
        <v>18131524414</v>
      </c>
      <c r="D77" s="39" t="s">
        <v>302</v>
      </c>
      <c r="E77" s="40">
        <v>432400</v>
      </c>
      <c r="F77" s="55">
        <v>1.0295238095238095</v>
      </c>
      <c r="G77" s="62">
        <v>44888</v>
      </c>
      <c r="H77" s="40">
        <v>420000</v>
      </c>
      <c r="I77" s="57">
        <f t="shared" si="9"/>
        <v>-12400</v>
      </c>
      <c r="J77" s="58">
        <f t="shared" si="10"/>
        <v>153760000</v>
      </c>
      <c r="K77" s="57">
        <f t="shared" si="11"/>
        <v>590004.39267015702</v>
      </c>
      <c r="L77" s="57">
        <f t="shared" si="12"/>
        <v>-170004.39267015702</v>
      </c>
      <c r="M77" s="58">
        <f t="shared" si="13"/>
        <v>28901493527.148937</v>
      </c>
      <c r="N77" s="59">
        <f t="shared" si="14"/>
        <v>1.6707620653657829E-2</v>
      </c>
      <c r="O77" s="26">
        <f t="shared" si="15"/>
        <v>-4.6445002528028301E-3</v>
      </c>
      <c r="P77" s="26">
        <f t="shared" si="16"/>
        <v>2.1571382598285553E-5</v>
      </c>
    </row>
    <row r="78" spans="1:16" x14ac:dyDescent="0.3">
      <c r="A78" s="23">
        <f t="shared" si="17"/>
        <v>65</v>
      </c>
      <c r="C78" s="40">
        <v>18131611404</v>
      </c>
      <c r="D78" s="39" t="s">
        <v>302</v>
      </c>
      <c r="E78" s="40">
        <v>623700</v>
      </c>
      <c r="F78" s="55">
        <v>0.93959023802350106</v>
      </c>
      <c r="G78" s="62">
        <v>44722</v>
      </c>
      <c r="H78" s="40">
        <v>663800</v>
      </c>
      <c r="I78" s="57">
        <f t="shared" ref="I78:I109" si="18">+H78-E78</f>
        <v>40100</v>
      </c>
      <c r="J78" s="58">
        <f t="shared" ref="J78:J109" si="19">+I78^2</f>
        <v>1608010000</v>
      </c>
      <c r="K78" s="57">
        <f t="shared" ref="K78:K109" si="20">AVERAGE($H$14:$H$1419)</f>
        <v>590004.39267015702</v>
      </c>
      <c r="L78" s="57">
        <f t="shared" ref="L78:L109" si="21">+H78-K78</f>
        <v>73795.607329842984</v>
      </c>
      <c r="M78" s="58">
        <f t="shared" ref="M78:M109" si="22">+L78^2</f>
        <v>5445791661.1803751</v>
      </c>
      <c r="N78" s="59">
        <f t="shared" ref="N78:N109" si="23">ABS(+$F$2-F78)</f>
        <v>7.3225950846650623E-2</v>
      </c>
      <c r="O78" s="26">
        <f t="shared" ref="O78:O109" si="24">+$F$3-F78</f>
        <v>8.5289071247505621E-2</v>
      </c>
      <c r="P78" s="26">
        <f t="shared" ref="P78:P109" si="25">+O78*O78</f>
        <v>7.2742256742620902E-3</v>
      </c>
    </row>
    <row r="79" spans="1:16" x14ac:dyDescent="0.3">
      <c r="A79" s="23">
        <f t="shared" ref="A79:A110" si="26">+A78+1</f>
        <v>66</v>
      </c>
      <c r="C79" s="40">
        <v>18131532436</v>
      </c>
      <c r="D79" s="41" t="s">
        <v>302</v>
      </c>
      <c r="E79" s="40">
        <v>374500</v>
      </c>
      <c r="F79" s="55">
        <v>0.94810126582278476</v>
      </c>
      <c r="G79" s="61">
        <v>44440</v>
      </c>
      <c r="H79" s="40">
        <v>395000</v>
      </c>
      <c r="I79" s="57">
        <f t="shared" si="18"/>
        <v>20500</v>
      </c>
      <c r="J79" s="58">
        <f t="shared" si="19"/>
        <v>420250000</v>
      </c>
      <c r="K79" s="57">
        <f t="shared" si="20"/>
        <v>590004.39267015702</v>
      </c>
      <c r="L79" s="57">
        <f t="shared" si="21"/>
        <v>-195004.39267015702</v>
      </c>
      <c r="M79" s="58">
        <f t="shared" si="22"/>
        <v>38026713160.656784</v>
      </c>
      <c r="N79" s="59">
        <f t="shared" si="23"/>
        <v>6.4714923047366923E-2</v>
      </c>
      <c r="O79" s="26">
        <f t="shared" si="24"/>
        <v>7.6778043448221922E-2</v>
      </c>
      <c r="P79" s="26">
        <f t="shared" si="25"/>
        <v>5.8948679557370535E-3</v>
      </c>
    </row>
    <row r="80" spans="1:16" x14ac:dyDescent="0.3">
      <c r="A80" s="23">
        <f t="shared" si="26"/>
        <v>67</v>
      </c>
      <c r="C80" s="40">
        <v>18131532447</v>
      </c>
      <c r="D80" s="41" t="s">
        <v>302</v>
      </c>
      <c r="E80" s="40">
        <v>363500</v>
      </c>
      <c r="F80" s="55">
        <v>0.97715053763440862</v>
      </c>
      <c r="G80" s="61">
        <v>44487</v>
      </c>
      <c r="H80" s="40">
        <v>372000</v>
      </c>
      <c r="I80" s="57">
        <f t="shared" si="18"/>
        <v>8500</v>
      </c>
      <c r="J80" s="58">
        <f t="shared" si="19"/>
        <v>72250000</v>
      </c>
      <c r="K80" s="57">
        <f t="shared" si="20"/>
        <v>590004.39267015702</v>
      </c>
      <c r="L80" s="57">
        <f t="shared" si="21"/>
        <v>-218004.39267015702</v>
      </c>
      <c r="M80" s="58">
        <f t="shared" si="22"/>
        <v>47525915223.484009</v>
      </c>
      <c r="N80" s="59">
        <f t="shared" si="23"/>
        <v>3.5665651235743057E-2</v>
      </c>
      <c r="O80" s="26">
        <f t="shared" si="24"/>
        <v>4.7728771636598055E-2</v>
      </c>
      <c r="P80" s="26">
        <f t="shared" si="25"/>
        <v>2.2780356419385269E-3</v>
      </c>
    </row>
    <row r="81" spans="1:16" x14ac:dyDescent="0.3">
      <c r="A81" s="23">
        <f t="shared" si="26"/>
        <v>68</v>
      </c>
      <c r="C81" s="40">
        <v>18131532416</v>
      </c>
      <c r="D81" s="41" t="s">
        <v>302</v>
      </c>
      <c r="E81" s="40">
        <v>452100</v>
      </c>
      <c r="F81" s="55">
        <v>1.5069999999999999</v>
      </c>
      <c r="G81" s="61">
        <v>44768</v>
      </c>
      <c r="H81" s="40">
        <v>300000</v>
      </c>
      <c r="I81" s="57">
        <f t="shared" si="18"/>
        <v>-152100</v>
      </c>
      <c r="J81" s="58">
        <f t="shared" si="19"/>
        <v>23134410000</v>
      </c>
      <c r="K81" s="57">
        <f t="shared" si="20"/>
        <v>590004.39267015702</v>
      </c>
      <c r="L81" s="57">
        <f t="shared" si="21"/>
        <v>-290004.39267015702</v>
      </c>
      <c r="M81" s="58">
        <f t="shared" si="22"/>
        <v>84102547767.986618</v>
      </c>
      <c r="N81" s="59">
        <f t="shared" si="23"/>
        <v>0.49418381112984822</v>
      </c>
      <c r="O81" s="26">
        <f t="shared" si="24"/>
        <v>-0.48212069072899322</v>
      </c>
      <c r="P81" s="26">
        <f t="shared" si="25"/>
        <v>0.23244036042900151</v>
      </c>
    </row>
    <row r="82" spans="1:16" x14ac:dyDescent="0.3">
      <c r="A82" s="23">
        <f t="shared" si="26"/>
        <v>69</v>
      </c>
      <c r="C82" s="40">
        <v>18131532514</v>
      </c>
      <c r="D82" s="41" t="s">
        <v>302</v>
      </c>
      <c r="E82" s="40">
        <v>459500</v>
      </c>
      <c r="F82" s="55">
        <v>0.92454728370221329</v>
      </c>
      <c r="G82" s="62">
        <v>45033</v>
      </c>
      <c r="H82" s="40">
        <v>497000</v>
      </c>
      <c r="I82" s="57">
        <f t="shared" si="18"/>
        <v>37500</v>
      </c>
      <c r="J82" s="58">
        <f t="shared" si="19"/>
        <v>1406250000</v>
      </c>
      <c r="K82" s="57">
        <f t="shared" si="20"/>
        <v>590004.39267015702</v>
      </c>
      <c r="L82" s="57">
        <f t="shared" si="21"/>
        <v>-93004.392670157016</v>
      </c>
      <c r="M82" s="58">
        <f t="shared" si="22"/>
        <v>8649817055.9447556</v>
      </c>
      <c r="N82" s="59">
        <f t="shared" si="23"/>
        <v>8.8268905167938394E-2</v>
      </c>
      <c r="O82" s="26">
        <f t="shared" si="24"/>
        <v>0.10033202556879339</v>
      </c>
      <c r="P82" s="26">
        <f t="shared" si="25"/>
        <v>1.006651535473701E-2</v>
      </c>
    </row>
    <row r="83" spans="1:16" x14ac:dyDescent="0.3">
      <c r="A83" s="23">
        <f t="shared" si="26"/>
        <v>70</v>
      </c>
      <c r="C83" s="40">
        <v>18131524448</v>
      </c>
      <c r="D83" s="39" t="s">
        <v>302</v>
      </c>
      <c r="E83" s="40">
        <v>532500</v>
      </c>
      <c r="F83" s="55">
        <v>0.8801652892561983</v>
      </c>
      <c r="G83" s="62">
        <v>45252</v>
      </c>
      <c r="H83" s="40">
        <v>605000</v>
      </c>
      <c r="I83" s="57">
        <f t="shared" si="18"/>
        <v>72500</v>
      </c>
      <c r="J83" s="58">
        <f t="shared" si="19"/>
        <v>5256250000</v>
      </c>
      <c r="K83" s="57">
        <f t="shared" si="20"/>
        <v>590004.39267015702</v>
      </c>
      <c r="L83" s="57">
        <f t="shared" si="21"/>
        <v>14995.607329842984</v>
      </c>
      <c r="M83" s="58">
        <f t="shared" si="22"/>
        <v>224868239.19084063</v>
      </c>
      <c r="N83" s="59">
        <f t="shared" si="23"/>
        <v>0.13265089961395338</v>
      </c>
      <c r="O83" s="26">
        <f t="shared" si="24"/>
        <v>0.14471402001480838</v>
      </c>
      <c r="P83" s="26">
        <f t="shared" si="25"/>
        <v>2.0942147588846358E-2</v>
      </c>
    </row>
    <row r="84" spans="1:16" x14ac:dyDescent="0.3">
      <c r="A84" s="23">
        <f t="shared" si="26"/>
        <v>71</v>
      </c>
      <c r="C84" s="40">
        <v>18131532409</v>
      </c>
      <c r="D84" s="39" t="s">
        <v>302</v>
      </c>
      <c r="E84" s="40">
        <v>537400</v>
      </c>
      <c r="F84" s="55">
        <v>1.1126293995859213</v>
      </c>
      <c r="G84" s="62">
        <v>44496</v>
      </c>
      <c r="H84" s="40">
        <v>483000</v>
      </c>
      <c r="I84" s="57">
        <f t="shared" si="18"/>
        <v>-54400</v>
      </c>
      <c r="J84" s="58">
        <f t="shared" si="19"/>
        <v>2959360000</v>
      </c>
      <c r="K84" s="57">
        <f t="shared" si="20"/>
        <v>590004.39267015702</v>
      </c>
      <c r="L84" s="57">
        <f t="shared" si="21"/>
        <v>-107004.39267015702</v>
      </c>
      <c r="M84" s="58">
        <f t="shared" si="22"/>
        <v>11449940050.709152</v>
      </c>
      <c r="N84" s="59">
        <f t="shared" si="23"/>
        <v>9.9813210715769651E-2</v>
      </c>
      <c r="O84" s="26">
        <f t="shared" si="24"/>
        <v>-8.7750090314914653E-2</v>
      </c>
      <c r="P84" s="26">
        <f t="shared" si="25"/>
        <v>7.7000783502756782E-3</v>
      </c>
    </row>
    <row r="85" spans="1:16" x14ac:dyDescent="0.3">
      <c r="A85" s="23">
        <f t="shared" si="26"/>
        <v>72</v>
      </c>
      <c r="C85" s="40">
        <v>18131644583</v>
      </c>
      <c r="D85" s="39" t="s">
        <v>302</v>
      </c>
      <c r="E85" s="40">
        <v>177900</v>
      </c>
      <c r="F85" s="55">
        <v>0.86780487804878048</v>
      </c>
      <c r="G85" s="62">
        <v>44307</v>
      </c>
      <c r="H85" s="40">
        <v>205000</v>
      </c>
      <c r="I85" s="57">
        <f t="shared" si="18"/>
        <v>27100</v>
      </c>
      <c r="J85" s="58">
        <f t="shared" si="19"/>
        <v>734410000</v>
      </c>
      <c r="K85" s="57">
        <f t="shared" si="20"/>
        <v>590004.39267015702</v>
      </c>
      <c r="L85" s="57">
        <f t="shared" si="21"/>
        <v>-385004.39267015702</v>
      </c>
      <c r="M85" s="58">
        <f t="shared" si="22"/>
        <v>148228382375.31647</v>
      </c>
      <c r="N85" s="59">
        <f t="shared" si="23"/>
        <v>0.1450113108213712</v>
      </c>
      <c r="O85" s="26">
        <f t="shared" si="24"/>
        <v>0.1570744312222262</v>
      </c>
      <c r="P85" s="26">
        <f t="shared" si="25"/>
        <v>2.4672376943785868E-2</v>
      </c>
    </row>
    <row r="86" spans="1:16" x14ac:dyDescent="0.3">
      <c r="A86" s="23">
        <f t="shared" si="26"/>
        <v>73</v>
      </c>
      <c r="C86" s="40">
        <v>18131644564</v>
      </c>
      <c r="D86" s="23" t="s">
        <v>302</v>
      </c>
      <c r="E86" s="40">
        <v>254800</v>
      </c>
      <c r="F86" s="55">
        <v>0.93676470588235294</v>
      </c>
      <c r="G86" s="62">
        <v>44580</v>
      </c>
      <c r="H86" s="40">
        <v>272000</v>
      </c>
      <c r="I86" s="57">
        <f t="shared" si="18"/>
        <v>17200</v>
      </c>
      <c r="J86" s="58">
        <f t="shared" si="19"/>
        <v>295840000</v>
      </c>
      <c r="K86" s="57">
        <f t="shared" si="20"/>
        <v>590004.39267015702</v>
      </c>
      <c r="L86" s="57">
        <f t="shared" si="21"/>
        <v>-318004.39267015702</v>
      </c>
      <c r="M86" s="58">
        <f t="shared" si="22"/>
        <v>101126793757.51541</v>
      </c>
      <c r="N86" s="59">
        <f t="shared" si="23"/>
        <v>7.6051482987798735E-2</v>
      </c>
      <c r="O86" s="26">
        <f t="shared" si="24"/>
        <v>8.8114603388653734E-2</v>
      </c>
      <c r="P86" s="26">
        <f t="shared" si="25"/>
        <v>7.7641833303397478E-3</v>
      </c>
    </row>
    <row r="87" spans="1:16" x14ac:dyDescent="0.3">
      <c r="A87" s="23">
        <f t="shared" si="26"/>
        <v>74</v>
      </c>
      <c r="C87" s="40">
        <v>18131644570</v>
      </c>
      <c r="D87" s="43" t="s">
        <v>302</v>
      </c>
      <c r="E87" s="40">
        <v>235000</v>
      </c>
      <c r="F87" s="55">
        <v>0.83038869257950532</v>
      </c>
      <c r="G87" s="61">
        <v>44789</v>
      </c>
      <c r="H87" s="40">
        <v>283000</v>
      </c>
      <c r="I87" s="57">
        <f t="shared" si="18"/>
        <v>48000</v>
      </c>
      <c r="J87" s="58">
        <f t="shared" si="19"/>
        <v>2304000000</v>
      </c>
      <c r="K87" s="57">
        <f t="shared" si="20"/>
        <v>590004.39267015702</v>
      </c>
      <c r="L87" s="57">
        <f t="shared" si="21"/>
        <v>-307004.39267015702</v>
      </c>
      <c r="M87" s="58">
        <f t="shared" si="22"/>
        <v>94251697118.771957</v>
      </c>
      <c r="N87" s="59">
        <f t="shared" si="23"/>
        <v>0.18242749629064636</v>
      </c>
      <c r="O87" s="26">
        <f t="shared" si="24"/>
        <v>0.19449061669150136</v>
      </c>
      <c r="P87" s="26">
        <f t="shared" si="25"/>
        <v>3.7826599981040508E-2</v>
      </c>
    </row>
    <row r="88" spans="1:16" x14ac:dyDescent="0.3">
      <c r="A88" s="23">
        <f t="shared" si="26"/>
        <v>75</v>
      </c>
      <c r="C88" s="40">
        <v>18131644565</v>
      </c>
      <c r="D88" s="43" t="s">
        <v>302</v>
      </c>
      <c r="E88" s="40">
        <v>256600</v>
      </c>
      <c r="F88" s="55">
        <v>1.0162376237623763</v>
      </c>
      <c r="G88" s="61">
        <v>45147</v>
      </c>
      <c r="H88" s="40">
        <v>252500</v>
      </c>
      <c r="I88" s="57">
        <f t="shared" si="18"/>
        <v>-4100</v>
      </c>
      <c r="J88" s="58">
        <f t="shared" si="19"/>
        <v>16810000</v>
      </c>
      <c r="K88" s="57">
        <f t="shared" si="20"/>
        <v>590004.39267015702</v>
      </c>
      <c r="L88" s="57">
        <f t="shared" si="21"/>
        <v>-337504.39267015702</v>
      </c>
      <c r="M88" s="58">
        <f t="shared" si="22"/>
        <v>113909215071.65154</v>
      </c>
      <c r="N88" s="59">
        <f t="shared" si="23"/>
        <v>3.421434892224573E-3</v>
      </c>
      <c r="O88" s="26">
        <f t="shared" si="24"/>
        <v>8.6416855086304256E-3</v>
      </c>
      <c r="P88" s="26">
        <f t="shared" si="25"/>
        <v>7.4678728430073102E-5</v>
      </c>
    </row>
    <row r="89" spans="1:16" x14ac:dyDescent="0.3">
      <c r="A89" s="23">
        <f t="shared" si="26"/>
        <v>76</v>
      </c>
      <c r="C89" s="40">
        <v>18131644577</v>
      </c>
      <c r="D89" s="23" t="s">
        <v>302</v>
      </c>
      <c r="E89" s="40">
        <v>244200</v>
      </c>
      <c r="F89" s="55">
        <v>0.90780669144981407</v>
      </c>
      <c r="G89" s="62">
        <v>44692</v>
      </c>
      <c r="H89" s="40">
        <v>269000</v>
      </c>
      <c r="I89" s="57">
        <f t="shared" si="18"/>
        <v>24800</v>
      </c>
      <c r="J89" s="58">
        <f t="shared" si="19"/>
        <v>615040000</v>
      </c>
      <c r="K89" s="57">
        <f t="shared" si="20"/>
        <v>590004.39267015702</v>
      </c>
      <c r="L89" s="57">
        <f t="shared" si="21"/>
        <v>-321004.39267015702</v>
      </c>
      <c r="M89" s="58">
        <f t="shared" si="22"/>
        <v>103043820113.53636</v>
      </c>
      <c r="N89" s="59">
        <f t="shared" si="23"/>
        <v>0.10500949742033761</v>
      </c>
      <c r="O89" s="26">
        <f t="shared" si="24"/>
        <v>0.1170726178211926</v>
      </c>
      <c r="P89" s="26">
        <f t="shared" si="25"/>
        <v>1.3705997843507024E-2</v>
      </c>
    </row>
    <row r="90" spans="1:16" x14ac:dyDescent="0.3">
      <c r="A90" s="23">
        <f t="shared" si="26"/>
        <v>77</v>
      </c>
      <c r="C90" s="40">
        <v>18131644580</v>
      </c>
      <c r="D90" s="23" t="s">
        <v>302</v>
      </c>
      <c r="E90" s="40">
        <v>252100</v>
      </c>
      <c r="F90" s="55">
        <v>0.95132075471698119</v>
      </c>
      <c r="G90" s="62">
        <v>44680</v>
      </c>
      <c r="H90" s="40">
        <v>265000</v>
      </c>
      <c r="I90" s="57">
        <f t="shared" si="18"/>
        <v>12900</v>
      </c>
      <c r="J90" s="58">
        <f t="shared" si="19"/>
        <v>166410000</v>
      </c>
      <c r="K90" s="57">
        <f t="shared" si="20"/>
        <v>590004.39267015702</v>
      </c>
      <c r="L90" s="57">
        <f t="shared" si="21"/>
        <v>-325004.39267015702</v>
      </c>
      <c r="M90" s="58">
        <f t="shared" si="22"/>
        <v>105627855254.89761</v>
      </c>
      <c r="N90" s="59">
        <f t="shared" si="23"/>
        <v>6.1495434153170492E-2</v>
      </c>
      <c r="O90" s="26">
        <f t="shared" si="24"/>
        <v>7.355855455402549E-2</v>
      </c>
      <c r="P90" s="26">
        <f t="shared" si="25"/>
        <v>5.4108609480775444E-3</v>
      </c>
    </row>
    <row r="91" spans="1:16" x14ac:dyDescent="0.3">
      <c r="A91" s="23">
        <f t="shared" si="26"/>
        <v>78</v>
      </c>
      <c r="C91" s="40">
        <v>18131644492</v>
      </c>
      <c r="D91" s="23" t="s">
        <v>302</v>
      </c>
      <c r="E91" s="40">
        <v>384300</v>
      </c>
      <c r="F91" s="55">
        <v>1.0825352112676057</v>
      </c>
      <c r="G91" s="62">
        <v>45072</v>
      </c>
      <c r="H91" s="40">
        <v>355000</v>
      </c>
      <c r="I91" s="57">
        <f t="shared" si="18"/>
        <v>-29300</v>
      </c>
      <c r="J91" s="58">
        <f t="shared" si="19"/>
        <v>858490000</v>
      </c>
      <c r="K91" s="57">
        <f t="shared" si="20"/>
        <v>590004.39267015702</v>
      </c>
      <c r="L91" s="57">
        <f t="shared" si="21"/>
        <v>-235004.39267015702</v>
      </c>
      <c r="M91" s="58">
        <f t="shared" si="22"/>
        <v>55227064574.269348</v>
      </c>
      <c r="N91" s="59">
        <f t="shared" si="23"/>
        <v>6.9719022397453978E-2</v>
      </c>
      <c r="O91" s="26">
        <f t="shared" si="24"/>
        <v>-5.7655901996598979E-2</v>
      </c>
      <c r="P91" s="26">
        <f t="shared" si="25"/>
        <v>3.3242030350414263E-3</v>
      </c>
    </row>
    <row r="92" spans="1:16" x14ac:dyDescent="0.3">
      <c r="A92" s="23">
        <f t="shared" si="26"/>
        <v>79</v>
      </c>
      <c r="C92" s="40">
        <v>18131644477</v>
      </c>
      <c r="D92" s="23" t="s">
        <v>302</v>
      </c>
      <c r="E92" s="40">
        <v>390700</v>
      </c>
      <c r="F92" s="55">
        <v>1.3023333333333333</v>
      </c>
      <c r="G92" s="62">
        <v>45093</v>
      </c>
      <c r="H92" s="40">
        <v>300000</v>
      </c>
      <c r="I92" s="57">
        <f t="shared" si="18"/>
        <v>-90700</v>
      </c>
      <c r="J92" s="58">
        <f t="shared" si="19"/>
        <v>8226490000</v>
      </c>
      <c r="K92" s="57">
        <f t="shared" si="20"/>
        <v>590004.39267015702</v>
      </c>
      <c r="L92" s="57">
        <f t="shared" si="21"/>
        <v>-290004.39267015702</v>
      </c>
      <c r="M92" s="58">
        <f t="shared" si="22"/>
        <v>84102547767.986618</v>
      </c>
      <c r="N92" s="59">
        <f t="shared" si="23"/>
        <v>0.28951714446318166</v>
      </c>
      <c r="O92" s="26">
        <f t="shared" si="24"/>
        <v>-0.27745402406232667</v>
      </c>
      <c r="P92" s="26">
        <f t="shared" si="25"/>
        <v>7.698073546837815E-2</v>
      </c>
    </row>
    <row r="93" spans="1:16" x14ac:dyDescent="0.3">
      <c r="A93" s="23">
        <f t="shared" si="26"/>
        <v>80</v>
      </c>
      <c r="C93" s="40">
        <v>18131534010</v>
      </c>
      <c r="D93" s="23" t="s">
        <v>302</v>
      </c>
      <c r="E93" s="40">
        <v>478400</v>
      </c>
      <c r="F93" s="55">
        <v>1.1754299754299755</v>
      </c>
      <c r="G93" s="62">
        <v>44369</v>
      </c>
      <c r="H93" s="40">
        <v>407000</v>
      </c>
      <c r="I93" s="57">
        <f t="shared" si="18"/>
        <v>-71400</v>
      </c>
      <c r="J93" s="58">
        <f t="shared" si="19"/>
        <v>5097960000</v>
      </c>
      <c r="K93" s="57">
        <f t="shared" si="20"/>
        <v>590004.39267015702</v>
      </c>
      <c r="L93" s="57">
        <f t="shared" si="21"/>
        <v>-183004.39267015702</v>
      </c>
      <c r="M93" s="58">
        <f t="shared" si="22"/>
        <v>33490607736.573021</v>
      </c>
      <c r="N93" s="59">
        <f t="shared" si="23"/>
        <v>0.16261378655982384</v>
      </c>
      <c r="O93" s="26">
        <f t="shared" si="24"/>
        <v>-0.15055066615896884</v>
      </c>
      <c r="P93" s="26">
        <f t="shared" si="25"/>
        <v>2.2665503080909286E-2</v>
      </c>
    </row>
    <row r="94" spans="1:16" x14ac:dyDescent="0.3">
      <c r="A94" s="23">
        <f t="shared" si="26"/>
        <v>81</v>
      </c>
      <c r="C94" s="40">
        <v>18131644452</v>
      </c>
      <c r="D94" s="23" t="s">
        <v>302</v>
      </c>
      <c r="E94" s="40">
        <v>339800</v>
      </c>
      <c r="F94" s="55">
        <v>1.0143283582089553</v>
      </c>
      <c r="G94" s="62">
        <v>44820</v>
      </c>
      <c r="H94" s="40">
        <v>335000</v>
      </c>
      <c r="I94" s="57">
        <f t="shared" si="18"/>
        <v>-4800</v>
      </c>
      <c r="J94" s="58">
        <f t="shared" si="19"/>
        <v>23040000</v>
      </c>
      <c r="K94" s="57">
        <f t="shared" si="20"/>
        <v>590004.39267015702</v>
      </c>
      <c r="L94" s="57">
        <f t="shared" si="21"/>
        <v>-255004.39267015702</v>
      </c>
      <c r="M94" s="58">
        <f t="shared" si="22"/>
        <v>65027240281.07563</v>
      </c>
      <c r="N94" s="59">
        <f t="shared" si="23"/>
        <v>1.5121693388036039E-3</v>
      </c>
      <c r="O94" s="26">
        <f t="shared" si="24"/>
        <v>1.0550951062051395E-2</v>
      </c>
      <c r="P94" s="26">
        <f t="shared" si="25"/>
        <v>1.1132256831380345E-4</v>
      </c>
    </row>
    <row r="95" spans="1:16" x14ac:dyDescent="0.3">
      <c r="A95" s="23">
        <f t="shared" si="26"/>
        <v>82</v>
      </c>
      <c r="C95" s="40">
        <v>18131644455</v>
      </c>
      <c r="D95" s="23" t="s">
        <v>302</v>
      </c>
      <c r="E95" s="40">
        <v>366400</v>
      </c>
      <c r="F95" s="55">
        <v>1.1103030303030303</v>
      </c>
      <c r="G95" s="62">
        <v>44599</v>
      </c>
      <c r="H95" s="40">
        <v>330000</v>
      </c>
      <c r="I95" s="57">
        <f t="shared" si="18"/>
        <v>-36400</v>
      </c>
      <c r="J95" s="58">
        <f t="shared" si="19"/>
        <v>1324960000</v>
      </c>
      <c r="K95" s="57">
        <f t="shared" si="20"/>
        <v>590004.39267015702</v>
      </c>
      <c r="L95" s="57">
        <f t="shared" si="21"/>
        <v>-260004.39267015702</v>
      </c>
      <c r="M95" s="58">
        <f t="shared" si="22"/>
        <v>67602284207.777199</v>
      </c>
      <c r="N95" s="59">
        <f t="shared" si="23"/>
        <v>9.7486841432878668E-2</v>
      </c>
      <c r="O95" s="26">
        <f t="shared" si="24"/>
        <v>-8.542372103202367E-2</v>
      </c>
      <c r="P95" s="26">
        <f t="shared" si="25"/>
        <v>7.2972121149570031E-3</v>
      </c>
    </row>
    <row r="96" spans="1:16" x14ac:dyDescent="0.3">
      <c r="A96" s="23">
        <f t="shared" si="26"/>
        <v>83</v>
      </c>
      <c r="C96" s="40">
        <v>18131644455</v>
      </c>
      <c r="D96" s="23" t="s">
        <v>302</v>
      </c>
      <c r="E96" s="40">
        <v>302200</v>
      </c>
      <c r="F96" s="55">
        <v>0.9717041800643087</v>
      </c>
      <c r="G96" s="62">
        <v>44277</v>
      </c>
      <c r="H96" s="40">
        <v>311000</v>
      </c>
      <c r="I96" s="57">
        <f t="shared" si="18"/>
        <v>8800</v>
      </c>
      <c r="J96" s="58">
        <f t="shared" si="19"/>
        <v>77440000</v>
      </c>
      <c r="K96" s="57">
        <f t="shared" si="20"/>
        <v>590004.39267015702</v>
      </c>
      <c r="L96" s="57">
        <f t="shared" si="21"/>
        <v>-279004.39267015702</v>
      </c>
      <c r="M96" s="58">
        <f t="shared" si="22"/>
        <v>77843451129.243164</v>
      </c>
      <c r="N96" s="59">
        <f t="shared" si="23"/>
        <v>4.1112008805842981E-2</v>
      </c>
      <c r="O96" s="26">
        <f t="shared" si="24"/>
        <v>5.317512920669798E-2</v>
      </c>
      <c r="P96" s="26">
        <f t="shared" si="25"/>
        <v>2.8275943661490244E-3</v>
      </c>
    </row>
    <row r="97" spans="1:16" x14ac:dyDescent="0.3">
      <c r="A97" s="23">
        <f t="shared" si="26"/>
        <v>84</v>
      </c>
      <c r="C97" s="40">
        <v>18131644438</v>
      </c>
      <c r="D97" s="43" t="s">
        <v>302</v>
      </c>
      <c r="E97" s="40">
        <v>295000</v>
      </c>
      <c r="F97" s="55">
        <v>1.1259541984732824</v>
      </c>
      <c r="G97" s="61">
        <v>44316</v>
      </c>
      <c r="H97" s="40">
        <v>262000</v>
      </c>
      <c r="I97" s="57">
        <f t="shared" si="18"/>
        <v>-33000</v>
      </c>
      <c r="J97" s="58">
        <f t="shared" si="19"/>
        <v>1089000000</v>
      </c>
      <c r="K97" s="57">
        <f t="shared" si="20"/>
        <v>590004.39267015702</v>
      </c>
      <c r="L97" s="57">
        <f t="shared" si="21"/>
        <v>-328004.39267015702</v>
      </c>
      <c r="M97" s="58">
        <f t="shared" si="22"/>
        <v>107586881610.91855</v>
      </c>
      <c r="N97" s="59">
        <f t="shared" si="23"/>
        <v>0.1131380096031307</v>
      </c>
      <c r="O97" s="26">
        <f t="shared" si="24"/>
        <v>-0.1010748892022757</v>
      </c>
      <c r="P97" s="26">
        <f t="shared" si="25"/>
        <v>1.0216133227252308E-2</v>
      </c>
    </row>
    <row r="98" spans="1:16" x14ac:dyDescent="0.3">
      <c r="A98" s="23">
        <f t="shared" si="26"/>
        <v>85</v>
      </c>
      <c r="C98" s="40">
        <v>18131643428</v>
      </c>
      <c r="D98" s="23" t="s">
        <v>302</v>
      </c>
      <c r="E98" s="40">
        <v>370200</v>
      </c>
      <c r="F98" s="55">
        <v>1.1941935483870967</v>
      </c>
      <c r="G98" s="62">
        <v>44375</v>
      </c>
      <c r="H98" s="40">
        <v>310000</v>
      </c>
      <c r="I98" s="57">
        <f t="shared" si="18"/>
        <v>-60200</v>
      </c>
      <c r="J98" s="58">
        <f t="shared" si="19"/>
        <v>3624040000</v>
      </c>
      <c r="K98" s="57">
        <f t="shared" si="20"/>
        <v>590004.39267015702</v>
      </c>
      <c r="L98" s="57">
        <f t="shared" si="21"/>
        <v>-280004.39267015702</v>
      </c>
      <c r="M98" s="58">
        <f t="shared" si="22"/>
        <v>78402459914.583481</v>
      </c>
      <c r="N98" s="59">
        <f t="shared" si="23"/>
        <v>0.181377359516945</v>
      </c>
      <c r="O98" s="26">
        <f t="shared" si="24"/>
        <v>-0.16931423911609</v>
      </c>
      <c r="P98" s="26">
        <f t="shared" si="25"/>
        <v>2.8667311567460503E-2</v>
      </c>
    </row>
    <row r="99" spans="1:16" x14ac:dyDescent="0.3">
      <c r="A99" s="23">
        <f t="shared" si="26"/>
        <v>86</v>
      </c>
      <c r="C99" s="40">
        <v>18131643427</v>
      </c>
      <c r="D99" s="43" t="s">
        <v>302</v>
      </c>
      <c r="E99" s="40">
        <v>460300</v>
      </c>
      <c r="F99" s="55">
        <v>1.1226829268292684</v>
      </c>
      <c r="G99" s="62">
        <v>44567</v>
      </c>
      <c r="H99" s="40">
        <v>410000</v>
      </c>
      <c r="I99" s="57">
        <f t="shared" si="18"/>
        <v>-50300</v>
      </c>
      <c r="J99" s="58">
        <f t="shared" si="19"/>
        <v>2530090000</v>
      </c>
      <c r="K99" s="57">
        <f t="shared" si="20"/>
        <v>590004.39267015702</v>
      </c>
      <c r="L99" s="57">
        <f t="shared" si="21"/>
        <v>-180004.39267015702</v>
      </c>
      <c r="M99" s="58">
        <f t="shared" si="22"/>
        <v>32401581380.552078</v>
      </c>
      <c r="N99" s="59">
        <f t="shared" si="23"/>
        <v>0.10986673795911672</v>
      </c>
      <c r="O99" s="26">
        <f t="shared" si="24"/>
        <v>-9.7803617558261724E-2</v>
      </c>
      <c r="P99" s="26">
        <f t="shared" si="25"/>
        <v>9.565547607482721E-3</v>
      </c>
    </row>
    <row r="100" spans="1:16" x14ac:dyDescent="0.3">
      <c r="A100" s="23">
        <f t="shared" si="26"/>
        <v>87</v>
      </c>
      <c r="C100" s="40">
        <v>18131643444</v>
      </c>
      <c r="D100" s="23" t="s">
        <v>302</v>
      </c>
      <c r="E100" s="40">
        <v>558300</v>
      </c>
      <c r="F100" s="55">
        <v>1.043551401869159</v>
      </c>
      <c r="G100" s="62">
        <v>45250</v>
      </c>
      <c r="H100" s="40">
        <v>535000</v>
      </c>
      <c r="I100" s="57">
        <f t="shared" si="18"/>
        <v>-23300</v>
      </c>
      <c r="J100" s="58">
        <f t="shared" si="19"/>
        <v>542890000</v>
      </c>
      <c r="K100" s="57">
        <f t="shared" si="20"/>
        <v>590004.39267015702</v>
      </c>
      <c r="L100" s="57">
        <f t="shared" si="21"/>
        <v>-55004.392670157016</v>
      </c>
      <c r="M100" s="58">
        <f t="shared" si="22"/>
        <v>3025483213.0128231</v>
      </c>
      <c r="N100" s="59">
        <f t="shared" si="23"/>
        <v>3.0735212999007278E-2</v>
      </c>
      <c r="O100" s="26">
        <f t="shared" si="24"/>
        <v>-1.8672092598152279E-2</v>
      </c>
      <c r="P100" s="26">
        <f t="shared" si="25"/>
        <v>3.4864704199397313E-4</v>
      </c>
    </row>
    <row r="101" spans="1:16" x14ac:dyDescent="0.3">
      <c r="A101" s="23">
        <f t="shared" si="26"/>
        <v>88</v>
      </c>
      <c r="C101" s="40">
        <v>18131532426</v>
      </c>
      <c r="D101" s="43" t="s">
        <v>302</v>
      </c>
      <c r="E101" s="40">
        <v>495700</v>
      </c>
      <c r="F101" s="55">
        <v>0.84735042735042732</v>
      </c>
      <c r="G101" s="61">
        <v>45174</v>
      </c>
      <c r="H101" s="40">
        <v>585000</v>
      </c>
      <c r="I101" s="57">
        <f t="shared" si="18"/>
        <v>89300</v>
      </c>
      <c r="J101" s="58">
        <f t="shared" si="19"/>
        <v>7974490000</v>
      </c>
      <c r="K101" s="57">
        <f t="shared" si="20"/>
        <v>590004.39267015702</v>
      </c>
      <c r="L101" s="57">
        <f t="shared" si="21"/>
        <v>-5004.3926701570163</v>
      </c>
      <c r="M101" s="58">
        <f t="shared" si="22"/>
        <v>25043945.997121271</v>
      </c>
      <c r="N101" s="59">
        <f t="shared" si="23"/>
        <v>0.16546576151972436</v>
      </c>
      <c r="O101" s="26">
        <f t="shared" si="24"/>
        <v>0.17752888192057936</v>
      </c>
      <c r="P101" s="26">
        <f t="shared" si="25"/>
        <v>3.1516503915971009E-2</v>
      </c>
    </row>
    <row r="102" spans="1:16" x14ac:dyDescent="0.3">
      <c r="A102" s="23">
        <f t="shared" si="26"/>
        <v>89</v>
      </c>
      <c r="C102" s="40">
        <v>18131524412</v>
      </c>
      <c r="D102" s="43" t="s">
        <v>302</v>
      </c>
      <c r="E102" s="40">
        <v>540300</v>
      </c>
      <c r="F102" s="55">
        <v>0.87427184466019414</v>
      </c>
      <c r="G102" s="61">
        <v>44802</v>
      </c>
      <c r="H102" s="40">
        <v>618000</v>
      </c>
      <c r="I102" s="57">
        <f t="shared" si="18"/>
        <v>77700</v>
      </c>
      <c r="J102" s="58">
        <f t="shared" si="19"/>
        <v>6037290000</v>
      </c>
      <c r="K102" s="57">
        <f t="shared" si="20"/>
        <v>590004.39267015702</v>
      </c>
      <c r="L102" s="57">
        <f t="shared" si="21"/>
        <v>27995.607329842984</v>
      </c>
      <c r="M102" s="58">
        <f t="shared" si="22"/>
        <v>783754029.7667582</v>
      </c>
      <c r="N102" s="59">
        <f t="shared" si="23"/>
        <v>0.13854434420995754</v>
      </c>
      <c r="O102" s="26">
        <f t="shared" si="24"/>
        <v>0.15060746461081254</v>
      </c>
      <c r="P102" s="26">
        <f t="shared" si="25"/>
        <v>2.2682608396497151E-2</v>
      </c>
    </row>
    <row r="103" spans="1:16" x14ac:dyDescent="0.3">
      <c r="A103" s="23">
        <f t="shared" si="26"/>
        <v>90</v>
      </c>
      <c r="C103" s="40">
        <v>18131642408</v>
      </c>
      <c r="D103" s="43" t="s">
        <v>302</v>
      </c>
      <c r="E103" s="40">
        <v>441900</v>
      </c>
      <c r="F103" s="55">
        <v>0.95032258064516129</v>
      </c>
      <c r="G103" s="62">
        <v>44257</v>
      </c>
      <c r="H103" s="40">
        <v>465000</v>
      </c>
      <c r="I103" s="57">
        <f t="shared" si="18"/>
        <v>23100</v>
      </c>
      <c r="J103" s="58">
        <f t="shared" si="19"/>
        <v>533610000</v>
      </c>
      <c r="K103" s="57">
        <f t="shared" si="20"/>
        <v>590004.39267015702</v>
      </c>
      <c r="L103" s="57">
        <f t="shared" si="21"/>
        <v>-125004.39267015702</v>
      </c>
      <c r="M103" s="58">
        <f t="shared" si="22"/>
        <v>15626098186.834805</v>
      </c>
      <c r="N103" s="59">
        <f t="shared" si="23"/>
        <v>6.2493608224990393E-2</v>
      </c>
      <c r="O103" s="26">
        <f t="shared" si="24"/>
        <v>7.4556728625845392E-2</v>
      </c>
      <c r="P103" s="26">
        <f t="shared" si="25"/>
        <v>5.5587057833879541E-3</v>
      </c>
    </row>
    <row r="104" spans="1:16" x14ac:dyDescent="0.3">
      <c r="A104" s="23">
        <f t="shared" si="26"/>
        <v>91</v>
      </c>
      <c r="C104" s="40">
        <v>18131532508</v>
      </c>
      <c r="D104" s="23" t="s">
        <v>302</v>
      </c>
      <c r="E104" s="40">
        <v>459700</v>
      </c>
      <c r="F104" s="55">
        <v>0.95970772442588725</v>
      </c>
      <c r="G104" s="62">
        <v>45104</v>
      </c>
      <c r="H104" s="40">
        <v>479000</v>
      </c>
      <c r="I104" s="57">
        <f t="shared" si="18"/>
        <v>19300</v>
      </c>
      <c r="J104" s="58">
        <f t="shared" si="19"/>
        <v>372490000</v>
      </c>
      <c r="K104" s="57">
        <f t="shared" si="20"/>
        <v>590004.39267015702</v>
      </c>
      <c r="L104" s="57">
        <f t="shared" si="21"/>
        <v>-111004.39267015702</v>
      </c>
      <c r="M104" s="58">
        <f t="shared" si="22"/>
        <v>12321975192.070408</v>
      </c>
      <c r="N104" s="59">
        <f t="shared" si="23"/>
        <v>5.3108464444264425E-2</v>
      </c>
      <c r="O104" s="26">
        <f t="shared" si="24"/>
        <v>6.5171584845119424E-2</v>
      </c>
      <c r="P104" s="26">
        <f t="shared" si="25"/>
        <v>4.2473354712245998E-3</v>
      </c>
    </row>
    <row r="105" spans="1:16" x14ac:dyDescent="0.3">
      <c r="A105" s="23">
        <f t="shared" si="26"/>
        <v>92</v>
      </c>
      <c r="C105" s="40">
        <v>18131532508</v>
      </c>
      <c r="D105" s="23" t="s">
        <v>302</v>
      </c>
      <c r="E105" s="40">
        <v>441600</v>
      </c>
      <c r="F105" s="55">
        <v>1.0770731707317074</v>
      </c>
      <c r="G105" s="62">
        <v>44823</v>
      </c>
      <c r="H105" s="40">
        <v>410000</v>
      </c>
      <c r="I105" s="57">
        <f t="shared" si="18"/>
        <v>-31600</v>
      </c>
      <c r="J105" s="58">
        <f t="shared" si="19"/>
        <v>998560000</v>
      </c>
      <c r="K105" s="57">
        <f t="shared" si="20"/>
        <v>590004.39267015702</v>
      </c>
      <c r="L105" s="57">
        <f t="shared" si="21"/>
        <v>-180004.39267015702</v>
      </c>
      <c r="M105" s="58">
        <f t="shared" si="22"/>
        <v>32401581380.552078</v>
      </c>
      <c r="N105" s="59">
        <f t="shared" si="23"/>
        <v>6.4256981861555706E-2</v>
      </c>
      <c r="O105" s="26">
        <f t="shared" si="24"/>
        <v>-5.2193861460700708E-2</v>
      </c>
      <c r="P105" s="26">
        <f t="shared" si="25"/>
        <v>2.7241991741788186E-3</v>
      </c>
    </row>
    <row r="106" spans="1:16" x14ac:dyDescent="0.3">
      <c r="A106" s="23">
        <f t="shared" si="26"/>
        <v>93</v>
      </c>
      <c r="C106" s="40">
        <v>18131643433</v>
      </c>
      <c r="D106" s="43" t="s">
        <v>302</v>
      </c>
      <c r="E106" s="40">
        <v>495900</v>
      </c>
      <c r="F106" s="55">
        <v>0.9269158878504673</v>
      </c>
      <c r="G106" s="61">
        <v>44398</v>
      </c>
      <c r="H106" s="40">
        <v>535000</v>
      </c>
      <c r="I106" s="57">
        <f t="shared" si="18"/>
        <v>39100</v>
      </c>
      <c r="J106" s="58">
        <f t="shared" si="19"/>
        <v>1528810000</v>
      </c>
      <c r="K106" s="57">
        <f t="shared" si="20"/>
        <v>590004.39267015702</v>
      </c>
      <c r="L106" s="57">
        <f t="shared" si="21"/>
        <v>-55004.392670157016</v>
      </c>
      <c r="M106" s="58">
        <f t="shared" si="22"/>
        <v>3025483213.0128231</v>
      </c>
      <c r="N106" s="59">
        <f t="shared" si="23"/>
        <v>8.5900301019684377E-2</v>
      </c>
      <c r="O106" s="26">
        <f t="shared" si="24"/>
        <v>9.7963421420539376E-2</v>
      </c>
      <c r="P106" s="26">
        <f t="shared" si="25"/>
        <v>9.5968319364181931E-3</v>
      </c>
    </row>
    <row r="107" spans="1:16" x14ac:dyDescent="0.3">
      <c r="A107" s="23">
        <f t="shared" si="26"/>
        <v>94</v>
      </c>
      <c r="C107" s="40">
        <v>18131623408</v>
      </c>
      <c r="D107" s="43" t="s">
        <v>302</v>
      </c>
      <c r="E107" s="40">
        <v>525600</v>
      </c>
      <c r="F107" s="55">
        <v>0.9140869565217391</v>
      </c>
      <c r="G107" s="61">
        <v>45183</v>
      </c>
      <c r="H107" s="40">
        <v>575000</v>
      </c>
      <c r="I107" s="57">
        <f t="shared" si="18"/>
        <v>49400</v>
      </c>
      <c r="J107" s="58">
        <f t="shared" si="19"/>
        <v>2440360000</v>
      </c>
      <c r="K107" s="57">
        <f t="shared" si="20"/>
        <v>590004.39267015702</v>
      </c>
      <c r="L107" s="57">
        <f t="shared" si="21"/>
        <v>-15004.392670157016</v>
      </c>
      <c r="M107" s="58">
        <f t="shared" si="22"/>
        <v>225131799.40026161</v>
      </c>
      <c r="N107" s="59">
        <f t="shared" si="23"/>
        <v>9.8729232348412577E-2</v>
      </c>
      <c r="O107" s="26">
        <f t="shared" si="24"/>
        <v>0.11079235274926758</v>
      </c>
      <c r="P107" s="26">
        <f t="shared" si="25"/>
        <v>1.2274945427718138E-2</v>
      </c>
    </row>
    <row r="108" spans="1:16" x14ac:dyDescent="0.3">
      <c r="A108" s="23">
        <f t="shared" si="26"/>
        <v>95</v>
      </c>
      <c r="C108" s="40">
        <v>18131634435</v>
      </c>
      <c r="D108" s="23" t="s">
        <v>302</v>
      </c>
      <c r="E108" s="40">
        <v>418100</v>
      </c>
      <c r="F108" s="55">
        <v>1.0285362853628537</v>
      </c>
      <c r="G108" s="62">
        <v>44803</v>
      </c>
      <c r="H108" s="40">
        <v>406500</v>
      </c>
      <c r="I108" s="57">
        <f t="shared" si="18"/>
        <v>-11600</v>
      </c>
      <c r="J108" s="58">
        <f t="shared" si="19"/>
        <v>134560000</v>
      </c>
      <c r="K108" s="57">
        <f t="shared" si="20"/>
        <v>590004.39267015702</v>
      </c>
      <c r="L108" s="57">
        <f t="shared" si="21"/>
        <v>-183504.39267015702</v>
      </c>
      <c r="M108" s="58">
        <f t="shared" si="22"/>
        <v>33673862129.243176</v>
      </c>
      <c r="N108" s="59">
        <f t="shared" si="23"/>
        <v>1.5720096492702007E-2</v>
      </c>
      <c r="O108" s="26">
        <f t="shared" si="24"/>
        <v>-3.6569760918470084E-3</v>
      </c>
      <c r="P108" s="26">
        <f t="shared" si="25"/>
        <v>1.3373474136340619E-5</v>
      </c>
    </row>
    <row r="109" spans="1:16" x14ac:dyDescent="0.3">
      <c r="A109" s="23">
        <f t="shared" si="26"/>
        <v>96</v>
      </c>
      <c r="C109" s="40">
        <v>18131532513</v>
      </c>
      <c r="D109" s="23" t="s">
        <v>302</v>
      </c>
      <c r="E109" s="40">
        <v>523600</v>
      </c>
      <c r="F109" s="55">
        <v>1.0471999999999999</v>
      </c>
      <c r="G109" s="62">
        <v>45057</v>
      </c>
      <c r="H109" s="40">
        <v>500000</v>
      </c>
      <c r="I109" s="57">
        <f t="shared" si="18"/>
        <v>-23600</v>
      </c>
      <c r="J109" s="58">
        <f t="shared" si="19"/>
        <v>556960000</v>
      </c>
      <c r="K109" s="57">
        <f t="shared" si="20"/>
        <v>590004.39267015702</v>
      </c>
      <c r="L109" s="57">
        <f t="shared" si="21"/>
        <v>-90004.392670157016</v>
      </c>
      <c r="M109" s="58">
        <f t="shared" si="22"/>
        <v>8100790699.9238138</v>
      </c>
      <c r="N109" s="59">
        <f t="shared" si="23"/>
        <v>3.438381112984823E-2</v>
      </c>
      <c r="O109" s="26">
        <f t="shared" si="24"/>
        <v>-2.2320690728993231E-2</v>
      </c>
      <c r="P109" s="26">
        <f t="shared" si="25"/>
        <v>4.9821323461936436E-4</v>
      </c>
    </row>
    <row r="110" spans="1:16" x14ac:dyDescent="0.3">
      <c r="A110" s="23">
        <f t="shared" si="26"/>
        <v>97</v>
      </c>
      <c r="C110" s="40">
        <v>18131534482</v>
      </c>
      <c r="D110" s="23" t="s">
        <v>302</v>
      </c>
      <c r="E110" s="40">
        <v>404000</v>
      </c>
      <c r="F110" s="55">
        <v>1.157593123209169</v>
      </c>
      <c r="G110" s="62">
        <v>44358</v>
      </c>
      <c r="H110" s="40">
        <v>349000</v>
      </c>
      <c r="I110" s="57">
        <f t="shared" ref="I110:I141" si="27">+H110-E110</f>
        <v>-55000</v>
      </c>
      <c r="J110" s="58">
        <f t="shared" ref="J110:J141" si="28">+I110^2</f>
        <v>3025000000</v>
      </c>
      <c r="K110" s="57">
        <f t="shared" ref="K110:K141" si="29">AVERAGE($H$14:$H$1419)</f>
        <v>590004.39267015702</v>
      </c>
      <c r="L110" s="57">
        <f t="shared" ref="L110:L141" si="30">+H110-K110</f>
        <v>-241004.39267015702</v>
      </c>
      <c r="M110" s="58">
        <f t="shared" ref="M110:M141" si="31">+L110^2</f>
        <v>58083117286.311234</v>
      </c>
      <c r="N110" s="59">
        <f t="shared" ref="N110:N141" si="32">ABS(+$F$2-F110)</f>
        <v>0.14477693433901728</v>
      </c>
      <c r="O110" s="26">
        <f t="shared" ref="O110:O141" si="33">+$F$3-F110</f>
        <v>-0.13271381393816228</v>
      </c>
      <c r="P110" s="26">
        <f t="shared" ref="P110:P141" si="34">+O110*O110</f>
        <v>1.7612956410013158E-2</v>
      </c>
    </row>
    <row r="111" spans="1:16" x14ac:dyDescent="0.3">
      <c r="A111" s="23">
        <f t="shared" ref="A111:A142" si="35">+A110+1</f>
        <v>98</v>
      </c>
      <c r="C111" s="40">
        <v>18131533438</v>
      </c>
      <c r="D111" s="23" t="s">
        <v>302</v>
      </c>
      <c r="E111" s="40">
        <v>545300</v>
      </c>
      <c r="F111" s="55">
        <v>0.89101307189542489</v>
      </c>
      <c r="G111" s="62">
        <v>44389</v>
      </c>
      <c r="H111" s="40">
        <v>612000</v>
      </c>
      <c r="I111" s="57">
        <f t="shared" si="27"/>
        <v>66700</v>
      </c>
      <c r="J111" s="58">
        <f t="shared" si="28"/>
        <v>4448890000</v>
      </c>
      <c r="K111" s="57">
        <f t="shared" si="29"/>
        <v>590004.39267015702</v>
      </c>
      <c r="L111" s="57">
        <f t="shared" si="30"/>
        <v>21995.607329842984</v>
      </c>
      <c r="M111" s="58">
        <f t="shared" si="31"/>
        <v>483806741.80864239</v>
      </c>
      <c r="N111" s="59">
        <f t="shared" si="32"/>
        <v>0.12180311697472679</v>
      </c>
      <c r="O111" s="26">
        <f t="shared" si="33"/>
        <v>0.13386623737558179</v>
      </c>
      <c r="P111" s="26">
        <f t="shared" si="34"/>
        <v>1.7920169509095609E-2</v>
      </c>
    </row>
    <row r="112" spans="1:16" x14ac:dyDescent="0.3">
      <c r="A112" s="23">
        <f t="shared" si="35"/>
        <v>99</v>
      </c>
      <c r="C112" s="40">
        <v>18131532421</v>
      </c>
      <c r="D112" s="43" t="s">
        <v>302</v>
      </c>
      <c r="E112" s="40">
        <v>444100</v>
      </c>
      <c r="F112" s="55">
        <v>1.0965432098765433</v>
      </c>
      <c r="G112" s="61">
        <v>44540</v>
      </c>
      <c r="H112" s="40">
        <v>405000</v>
      </c>
      <c r="I112" s="57">
        <f t="shared" si="27"/>
        <v>-39100</v>
      </c>
      <c r="J112" s="58">
        <f t="shared" si="28"/>
        <v>1528810000</v>
      </c>
      <c r="K112" s="57">
        <f t="shared" si="29"/>
        <v>590004.39267015702</v>
      </c>
      <c r="L112" s="57">
        <f t="shared" si="30"/>
        <v>-185004.39267015702</v>
      </c>
      <c r="M112" s="58">
        <f t="shared" si="31"/>
        <v>34226625307.253647</v>
      </c>
      <c r="N112" s="59">
        <f t="shared" si="32"/>
        <v>8.3727021006391622E-2</v>
      </c>
      <c r="O112" s="26">
        <f t="shared" si="33"/>
        <v>-7.1663900605536623E-2</v>
      </c>
      <c r="P112" s="26">
        <f t="shared" si="34"/>
        <v>5.135714650000232E-3</v>
      </c>
    </row>
    <row r="113" spans="1:16" x14ac:dyDescent="0.3">
      <c r="A113" s="23">
        <f t="shared" si="35"/>
        <v>100</v>
      </c>
      <c r="C113" s="40">
        <v>18131532446</v>
      </c>
      <c r="D113" s="23" t="s">
        <v>302</v>
      </c>
      <c r="E113" s="40">
        <v>465500</v>
      </c>
      <c r="F113" s="55">
        <v>1.209090909090909</v>
      </c>
      <c r="G113" s="62">
        <v>44225</v>
      </c>
      <c r="H113" s="40">
        <v>385000</v>
      </c>
      <c r="I113" s="57">
        <f t="shared" si="27"/>
        <v>-80500</v>
      </c>
      <c r="J113" s="58">
        <f t="shared" si="28"/>
        <v>6480250000</v>
      </c>
      <c r="K113" s="57">
        <f t="shared" si="29"/>
        <v>590004.39267015702</v>
      </c>
      <c r="L113" s="57">
        <f t="shared" si="30"/>
        <v>-205004.39267015702</v>
      </c>
      <c r="M113" s="58">
        <f t="shared" si="31"/>
        <v>42026801014.059929</v>
      </c>
      <c r="N113" s="59">
        <f t="shared" si="32"/>
        <v>0.19627472022075731</v>
      </c>
      <c r="O113" s="26">
        <f t="shared" si="33"/>
        <v>-0.18421159981990232</v>
      </c>
      <c r="P113" s="26">
        <f t="shared" si="34"/>
        <v>3.3933913508207833E-2</v>
      </c>
    </row>
    <row r="114" spans="1:16" x14ac:dyDescent="0.3">
      <c r="A114" s="23">
        <f t="shared" si="35"/>
        <v>101</v>
      </c>
      <c r="C114" s="40">
        <v>17132414418</v>
      </c>
      <c r="D114" s="23" t="s">
        <v>302</v>
      </c>
      <c r="E114" s="40">
        <v>539700</v>
      </c>
      <c r="F114" s="55">
        <v>1.0449177153920619</v>
      </c>
      <c r="G114" s="62">
        <v>44285</v>
      </c>
      <c r="H114" s="40">
        <v>516500</v>
      </c>
      <c r="I114" s="57">
        <f t="shared" si="27"/>
        <v>-23200</v>
      </c>
      <c r="J114" s="58">
        <f t="shared" si="28"/>
        <v>538240000</v>
      </c>
      <c r="K114" s="57">
        <f t="shared" si="29"/>
        <v>590004.39267015702</v>
      </c>
      <c r="L114" s="57">
        <f t="shared" si="30"/>
        <v>-73504.392670157016</v>
      </c>
      <c r="M114" s="58">
        <f t="shared" si="31"/>
        <v>5402895741.8086329</v>
      </c>
      <c r="N114" s="59">
        <f t="shared" si="32"/>
        <v>3.2101526521910229E-2</v>
      </c>
      <c r="O114" s="26">
        <f t="shared" si="33"/>
        <v>-2.003840612105523E-2</v>
      </c>
      <c r="P114" s="26">
        <f t="shared" si="34"/>
        <v>4.0153771987234369E-4</v>
      </c>
    </row>
    <row r="115" spans="1:16" x14ac:dyDescent="0.3">
      <c r="A115" s="23">
        <f t="shared" si="35"/>
        <v>102</v>
      </c>
      <c r="C115" s="40">
        <v>18131912408</v>
      </c>
      <c r="D115" s="43" t="s">
        <v>302</v>
      </c>
      <c r="E115" s="40">
        <v>445900</v>
      </c>
      <c r="F115" s="55">
        <v>0.8666666666666667</v>
      </c>
      <c r="G115" s="62">
        <v>44398</v>
      </c>
      <c r="H115" s="40">
        <v>514500</v>
      </c>
      <c r="I115" s="57">
        <f t="shared" si="27"/>
        <v>68600</v>
      </c>
      <c r="J115" s="58">
        <f t="shared" si="28"/>
        <v>4705960000</v>
      </c>
      <c r="K115" s="57">
        <f t="shared" si="29"/>
        <v>590004.39267015702</v>
      </c>
      <c r="L115" s="57">
        <f t="shared" si="30"/>
        <v>-75504.392670157016</v>
      </c>
      <c r="M115" s="58">
        <f t="shared" si="31"/>
        <v>5700913312.4892607</v>
      </c>
      <c r="N115" s="59">
        <f t="shared" si="32"/>
        <v>0.14614952220348498</v>
      </c>
      <c r="O115" s="26">
        <f t="shared" si="33"/>
        <v>0.15821264260433998</v>
      </c>
      <c r="P115" s="26">
        <f t="shared" si="34"/>
        <v>2.5031240279848616E-2</v>
      </c>
    </row>
    <row r="116" spans="1:16" x14ac:dyDescent="0.3">
      <c r="A116" s="23">
        <f t="shared" si="35"/>
        <v>103</v>
      </c>
      <c r="C116" s="40">
        <v>18131731417</v>
      </c>
      <c r="D116" s="43" t="s">
        <v>302</v>
      </c>
      <c r="E116" s="40">
        <v>613500</v>
      </c>
      <c r="F116" s="55">
        <v>0.87642857142857145</v>
      </c>
      <c r="G116" s="62">
        <v>44831</v>
      </c>
      <c r="H116" s="40">
        <v>700000</v>
      </c>
      <c r="I116" s="57">
        <f t="shared" si="27"/>
        <v>86500</v>
      </c>
      <c r="J116" s="58">
        <f t="shared" si="28"/>
        <v>7482250000</v>
      </c>
      <c r="K116" s="57">
        <f t="shared" si="29"/>
        <v>590004.39267015702</v>
      </c>
      <c r="L116" s="57">
        <f t="shared" si="30"/>
        <v>109995.60732984298</v>
      </c>
      <c r="M116" s="58">
        <f t="shared" si="31"/>
        <v>12099033631.861008</v>
      </c>
      <c r="N116" s="59">
        <f t="shared" si="32"/>
        <v>0.13638761744158023</v>
      </c>
      <c r="O116" s="26">
        <f t="shared" si="33"/>
        <v>0.14845073784243523</v>
      </c>
      <c r="P116" s="26">
        <f t="shared" si="34"/>
        <v>2.2037621565963433E-2</v>
      </c>
    </row>
    <row r="117" spans="1:16" x14ac:dyDescent="0.3">
      <c r="A117" s="23">
        <f t="shared" si="35"/>
        <v>104</v>
      </c>
      <c r="C117" s="40">
        <v>18131533495</v>
      </c>
      <c r="D117" s="43" t="s">
        <v>302</v>
      </c>
      <c r="E117" s="40">
        <v>340100</v>
      </c>
      <c r="F117" s="55">
        <v>0.80023529411764704</v>
      </c>
      <c r="G117" s="61">
        <v>44363</v>
      </c>
      <c r="H117" s="40">
        <v>425000</v>
      </c>
      <c r="I117" s="57">
        <f t="shared" si="27"/>
        <v>84900</v>
      </c>
      <c r="J117" s="58">
        <f t="shared" si="28"/>
        <v>7208010000</v>
      </c>
      <c r="K117" s="57">
        <f t="shared" si="29"/>
        <v>590004.39267015702</v>
      </c>
      <c r="L117" s="57">
        <f t="shared" si="30"/>
        <v>-165004.39267015702</v>
      </c>
      <c r="M117" s="58">
        <f t="shared" si="31"/>
        <v>27226449600.447365</v>
      </c>
      <c r="N117" s="59">
        <f t="shared" si="32"/>
        <v>0.21258089475250463</v>
      </c>
      <c r="O117" s="26">
        <f t="shared" si="33"/>
        <v>0.22464401515335963</v>
      </c>
      <c r="P117" s="26">
        <f t="shared" si="34"/>
        <v>5.0464933544222872E-2</v>
      </c>
    </row>
    <row r="118" spans="1:16" x14ac:dyDescent="0.3">
      <c r="A118" s="23">
        <f t="shared" si="35"/>
        <v>105</v>
      </c>
      <c r="C118" s="40">
        <v>18131533492</v>
      </c>
      <c r="D118" s="23" t="s">
        <v>302</v>
      </c>
      <c r="E118" s="40">
        <v>415600</v>
      </c>
      <c r="F118" s="55">
        <v>0.94669703872437361</v>
      </c>
      <c r="G118" s="62">
        <v>45196</v>
      </c>
      <c r="H118" s="40">
        <v>439000</v>
      </c>
      <c r="I118" s="57">
        <f t="shared" si="27"/>
        <v>23400</v>
      </c>
      <c r="J118" s="58">
        <f t="shared" si="28"/>
        <v>547560000</v>
      </c>
      <c r="K118" s="57">
        <f t="shared" si="29"/>
        <v>590004.39267015702</v>
      </c>
      <c r="L118" s="57">
        <f t="shared" si="30"/>
        <v>-151004.39267015702</v>
      </c>
      <c r="M118" s="58">
        <f t="shared" si="31"/>
        <v>22802326605.682968</v>
      </c>
      <c r="N118" s="59">
        <f t="shared" si="32"/>
        <v>6.6119150145778072E-2</v>
      </c>
      <c r="O118" s="26">
        <f t="shared" si="33"/>
        <v>7.818227054663307E-2</v>
      </c>
      <c r="P118" s="26">
        <f t="shared" si="34"/>
        <v>6.1124674278269292E-3</v>
      </c>
    </row>
    <row r="119" spans="1:16" x14ac:dyDescent="0.3">
      <c r="A119" s="23">
        <f t="shared" si="35"/>
        <v>106</v>
      </c>
      <c r="C119" s="40">
        <v>18131641438</v>
      </c>
      <c r="D119" s="23" t="s">
        <v>302</v>
      </c>
      <c r="E119" s="40">
        <v>683500</v>
      </c>
      <c r="F119" s="55">
        <v>0.88193548387096776</v>
      </c>
      <c r="G119" s="62">
        <v>44551</v>
      </c>
      <c r="H119" s="40">
        <v>775000</v>
      </c>
      <c r="I119" s="57">
        <f t="shared" si="27"/>
        <v>91500</v>
      </c>
      <c r="J119" s="58">
        <f t="shared" si="28"/>
        <v>8372250000</v>
      </c>
      <c r="K119" s="57">
        <f t="shared" si="29"/>
        <v>590004.39267015702</v>
      </c>
      <c r="L119" s="57">
        <f t="shared" si="30"/>
        <v>184995.60732984298</v>
      </c>
      <c r="M119" s="58">
        <f t="shared" si="31"/>
        <v>34223374731.337456</v>
      </c>
      <c r="N119" s="59">
        <f t="shared" si="32"/>
        <v>0.13088070499918392</v>
      </c>
      <c r="O119" s="26">
        <f t="shared" si="33"/>
        <v>0.14294382540003892</v>
      </c>
      <c r="P119" s="26">
        <f t="shared" si="34"/>
        <v>2.0432937219996811E-2</v>
      </c>
    </row>
    <row r="120" spans="1:16" x14ac:dyDescent="0.3">
      <c r="A120" s="23">
        <f t="shared" si="35"/>
        <v>107</v>
      </c>
      <c r="C120" s="40">
        <v>18131532491</v>
      </c>
      <c r="D120" s="23" t="s">
        <v>302</v>
      </c>
      <c r="E120" s="40">
        <v>454200</v>
      </c>
      <c r="F120" s="55">
        <v>1.1355</v>
      </c>
      <c r="G120" s="62">
        <v>44215</v>
      </c>
      <c r="H120" s="40">
        <v>400000</v>
      </c>
      <c r="I120" s="57">
        <f t="shared" si="27"/>
        <v>-54200</v>
      </c>
      <c r="J120" s="58">
        <f t="shared" si="28"/>
        <v>2937640000</v>
      </c>
      <c r="K120" s="57">
        <f t="shared" si="29"/>
        <v>590004.39267015702</v>
      </c>
      <c r="L120" s="57">
        <f t="shared" si="30"/>
        <v>-190004.39267015702</v>
      </c>
      <c r="M120" s="58">
        <f t="shared" si="31"/>
        <v>36101669233.955215</v>
      </c>
      <c r="N120" s="59">
        <f t="shared" si="32"/>
        <v>0.12268381112984827</v>
      </c>
      <c r="O120" s="26">
        <f t="shared" si="33"/>
        <v>-0.11062069072899328</v>
      </c>
      <c r="P120" s="26">
        <f t="shared" si="34"/>
        <v>1.223693721735958E-2</v>
      </c>
    </row>
    <row r="121" spans="1:16" x14ac:dyDescent="0.3">
      <c r="A121" s="23">
        <f t="shared" si="35"/>
        <v>108</v>
      </c>
      <c r="C121" s="40">
        <v>18131634478</v>
      </c>
      <c r="D121" s="43" t="s">
        <v>302</v>
      </c>
      <c r="E121" s="40">
        <v>548300</v>
      </c>
      <c r="F121" s="55">
        <v>1.3023752969121141</v>
      </c>
      <c r="G121" s="61">
        <v>44536</v>
      </c>
      <c r="H121" s="40">
        <v>421000</v>
      </c>
      <c r="I121" s="57">
        <f t="shared" si="27"/>
        <v>-127300</v>
      </c>
      <c r="J121" s="58">
        <f t="shared" si="28"/>
        <v>16205290000</v>
      </c>
      <c r="K121" s="57">
        <f t="shared" si="29"/>
        <v>590004.39267015702</v>
      </c>
      <c r="L121" s="57">
        <f t="shared" si="30"/>
        <v>-169004.39267015702</v>
      </c>
      <c r="M121" s="58">
        <f t="shared" si="31"/>
        <v>28562484741.808624</v>
      </c>
      <c r="N121" s="59">
        <f t="shared" si="32"/>
        <v>0.28955910804196239</v>
      </c>
      <c r="O121" s="26">
        <f t="shared" si="33"/>
        <v>-0.27749598764110739</v>
      </c>
      <c r="P121" s="26">
        <f t="shared" si="34"/>
        <v>7.7004023156913626E-2</v>
      </c>
    </row>
    <row r="122" spans="1:16" x14ac:dyDescent="0.3">
      <c r="A122" s="23">
        <f t="shared" si="35"/>
        <v>109</v>
      </c>
      <c r="C122" s="40">
        <v>18131743443</v>
      </c>
      <c r="D122" s="23" t="s">
        <v>302</v>
      </c>
      <c r="E122" s="40">
        <v>539400</v>
      </c>
      <c r="F122" s="55">
        <v>0.93808695652173912</v>
      </c>
      <c r="G122" s="62">
        <v>44742</v>
      </c>
      <c r="H122" s="40">
        <v>575000</v>
      </c>
      <c r="I122" s="57">
        <f t="shared" si="27"/>
        <v>35600</v>
      </c>
      <c r="J122" s="58">
        <f t="shared" si="28"/>
        <v>1267360000</v>
      </c>
      <c r="K122" s="57">
        <f t="shared" si="29"/>
        <v>590004.39267015702</v>
      </c>
      <c r="L122" s="57">
        <f t="shared" si="30"/>
        <v>-15004.392670157016</v>
      </c>
      <c r="M122" s="58">
        <f t="shared" si="31"/>
        <v>225131799.40026161</v>
      </c>
      <c r="N122" s="59">
        <f t="shared" si="32"/>
        <v>7.4729232348412555E-2</v>
      </c>
      <c r="O122" s="26">
        <f t="shared" si="33"/>
        <v>8.6792352749267554E-2</v>
      </c>
      <c r="P122" s="26">
        <f t="shared" si="34"/>
        <v>7.532912495753291E-3</v>
      </c>
    </row>
    <row r="123" spans="1:16" x14ac:dyDescent="0.3">
      <c r="A123" s="23">
        <f t="shared" si="35"/>
        <v>110</v>
      </c>
      <c r="C123" s="40">
        <v>18131634445</v>
      </c>
      <c r="D123" s="43" t="s">
        <v>302</v>
      </c>
      <c r="E123" s="40">
        <v>513400</v>
      </c>
      <c r="F123" s="55">
        <v>0.99689320388349512</v>
      </c>
      <c r="G123" s="61">
        <v>44546</v>
      </c>
      <c r="H123" s="40">
        <v>515000</v>
      </c>
      <c r="I123" s="57">
        <f t="shared" si="27"/>
        <v>1600</v>
      </c>
      <c r="J123" s="58">
        <f t="shared" si="28"/>
        <v>2560000</v>
      </c>
      <c r="K123" s="57">
        <f t="shared" si="29"/>
        <v>590004.39267015702</v>
      </c>
      <c r="L123" s="57">
        <f t="shared" si="30"/>
        <v>-75004.392670157016</v>
      </c>
      <c r="M123" s="58">
        <f t="shared" si="31"/>
        <v>5625658919.8191032</v>
      </c>
      <c r="N123" s="59">
        <f t="shared" si="32"/>
        <v>1.5922984986656563E-2</v>
      </c>
      <c r="O123" s="26">
        <f t="shared" si="33"/>
        <v>2.7986105387511562E-2</v>
      </c>
      <c r="P123" s="26">
        <f t="shared" si="34"/>
        <v>7.8322209476090364E-4</v>
      </c>
    </row>
    <row r="124" spans="1:16" x14ac:dyDescent="0.3">
      <c r="A124" s="23">
        <f t="shared" si="35"/>
        <v>111</v>
      </c>
      <c r="C124" s="40">
        <v>18131743494</v>
      </c>
      <c r="D124" s="43" t="s">
        <v>302</v>
      </c>
      <c r="E124" s="40">
        <v>494700</v>
      </c>
      <c r="F124" s="55">
        <v>0.90109289617486343</v>
      </c>
      <c r="G124" s="61">
        <v>44301</v>
      </c>
      <c r="H124" s="40">
        <v>549000</v>
      </c>
      <c r="I124" s="57">
        <f t="shared" si="27"/>
        <v>54300</v>
      </c>
      <c r="J124" s="58">
        <f t="shared" si="28"/>
        <v>2948490000</v>
      </c>
      <c r="K124" s="57">
        <f t="shared" si="29"/>
        <v>590004.39267015702</v>
      </c>
      <c r="L124" s="57">
        <f t="shared" si="30"/>
        <v>-41004.392670157016</v>
      </c>
      <c r="M124" s="58">
        <f t="shared" si="31"/>
        <v>1681360218.2484264</v>
      </c>
      <c r="N124" s="59">
        <f t="shared" si="32"/>
        <v>0.11172329269528825</v>
      </c>
      <c r="O124" s="26">
        <f t="shared" si="33"/>
        <v>0.12378641309614324</v>
      </c>
      <c r="P124" s="26">
        <f t="shared" si="34"/>
        <v>1.5323076067209023E-2</v>
      </c>
    </row>
    <row r="125" spans="1:16" x14ac:dyDescent="0.3">
      <c r="A125" s="23">
        <f t="shared" si="35"/>
        <v>112</v>
      </c>
      <c r="C125" s="40">
        <v>18131923437</v>
      </c>
      <c r="D125" s="23" t="s">
        <v>302</v>
      </c>
      <c r="E125" s="40">
        <v>474800</v>
      </c>
      <c r="F125" s="55">
        <v>0.89033903390339031</v>
      </c>
      <c r="G125" s="62">
        <v>44900</v>
      </c>
      <c r="H125" s="40">
        <v>533280</v>
      </c>
      <c r="I125" s="57">
        <f t="shared" si="27"/>
        <v>58480</v>
      </c>
      <c r="J125" s="58">
        <f t="shared" si="28"/>
        <v>3419910400</v>
      </c>
      <c r="K125" s="57">
        <f t="shared" si="29"/>
        <v>590004.39267015702</v>
      </c>
      <c r="L125" s="57">
        <f t="shared" si="30"/>
        <v>-56724.392670157016</v>
      </c>
      <c r="M125" s="58">
        <f t="shared" si="31"/>
        <v>3217656723.7981629</v>
      </c>
      <c r="N125" s="59">
        <f t="shared" si="32"/>
        <v>0.12247715496676137</v>
      </c>
      <c r="O125" s="26">
        <f t="shared" si="33"/>
        <v>0.13454027536761637</v>
      </c>
      <c r="P125" s="26">
        <f t="shared" si="34"/>
        <v>1.810108569599404E-2</v>
      </c>
    </row>
    <row r="126" spans="1:16" x14ac:dyDescent="0.3">
      <c r="A126" s="23">
        <f t="shared" si="35"/>
        <v>113</v>
      </c>
      <c r="C126" s="40">
        <v>18131923421</v>
      </c>
      <c r="D126" s="43" t="s">
        <v>302</v>
      </c>
      <c r="E126" s="40">
        <v>489200</v>
      </c>
      <c r="F126" s="55">
        <v>1.0306975960221647</v>
      </c>
      <c r="G126" s="62">
        <v>45238</v>
      </c>
      <c r="H126" s="40">
        <v>474630</v>
      </c>
      <c r="I126" s="57">
        <f t="shared" si="27"/>
        <v>-14570</v>
      </c>
      <c r="J126" s="58">
        <f t="shared" si="28"/>
        <v>212284900</v>
      </c>
      <c r="K126" s="57">
        <f t="shared" si="29"/>
        <v>590004.39267015702</v>
      </c>
      <c r="L126" s="57">
        <f t="shared" si="30"/>
        <v>-115374.39267015702</v>
      </c>
      <c r="M126" s="58">
        <f t="shared" si="31"/>
        <v>13311250484.007582</v>
      </c>
      <c r="N126" s="59">
        <f t="shared" si="32"/>
        <v>1.7881407152013029E-2</v>
      </c>
      <c r="O126" s="26">
        <f t="shared" si="33"/>
        <v>-5.8182867511580305E-3</v>
      </c>
      <c r="P126" s="26">
        <f t="shared" si="34"/>
        <v>3.3852460718701071E-5</v>
      </c>
    </row>
    <row r="127" spans="1:16" x14ac:dyDescent="0.3">
      <c r="A127" s="23">
        <f t="shared" si="35"/>
        <v>114</v>
      </c>
      <c r="C127" s="40">
        <v>18131923436</v>
      </c>
      <c r="D127" s="23" t="s">
        <v>302</v>
      </c>
      <c r="E127" s="40">
        <v>504400</v>
      </c>
      <c r="F127" s="55">
        <v>0.95187771277599542</v>
      </c>
      <c r="G127" s="62">
        <v>45132</v>
      </c>
      <c r="H127" s="40">
        <v>529900</v>
      </c>
      <c r="I127" s="57">
        <f t="shared" si="27"/>
        <v>25500</v>
      </c>
      <c r="J127" s="58">
        <f t="shared" si="28"/>
        <v>650250000</v>
      </c>
      <c r="K127" s="57">
        <f t="shared" si="29"/>
        <v>590004.39267015702</v>
      </c>
      <c r="L127" s="57">
        <f t="shared" si="30"/>
        <v>-60104.392670157016</v>
      </c>
      <c r="M127" s="58">
        <f t="shared" si="31"/>
        <v>3612538018.2484245</v>
      </c>
      <c r="N127" s="59">
        <f t="shared" si="32"/>
        <v>6.0938476094156258E-2</v>
      </c>
      <c r="O127" s="26">
        <f t="shared" si="33"/>
        <v>7.3001596495011256E-2</v>
      </c>
      <c r="P127" s="26">
        <f t="shared" si="34"/>
        <v>5.3292330908204398E-3</v>
      </c>
    </row>
    <row r="128" spans="1:16" x14ac:dyDescent="0.3">
      <c r="A128" s="23">
        <f t="shared" si="35"/>
        <v>115</v>
      </c>
      <c r="C128" s="40">
        <v>18131923434</v>
      </c>
      <c r="D128" s="43" t="s">
        <v>302</v>
      </c>
      <c r="E128" s="40">
        <v>491900</v>
      </c>
      <c r="F128" s="55">
        <v>1.0509785488419794</v>
      </c>
      <c r="G128" s="62">
        <v>45216</v>
      </c>
      <c r="H128" s="40">
        <v>468040</v>
      </c>
      <c r="I128" s="57">
        <f t="shared" si="27"/>
        <v>-23860</v>
      </c>
      <c r="J128" s="58">
        <f t="shared" si="28"/>
        <v>569299600</v>
      </c>
      <c r="K128" s="57">
        <f t="shared" si="29"/>
        <v>590004.39267015702</v>
      </c>
      <c r="L128" s="57">
        <f t="shared" si="30"/>
        <v>-121964.39267015702</v>
      </c>
      <c r="M128" s="58">
        <f t="shared" si="31"/>
        <v>14875313079.400251</v>
      </c>
      <c r="N128" s="59">
        <f t="shared" si="32"/>
        <v>3.8162359971827708E-2</v>
      </c>
      <c r="O128" s="26">
        <f t="shared" si="33"/>
        <v>-2.609923957097271E-2</v>
      </c>
      <c r="P128" s="26">
        <f t="shared" si="34"/>
        <v>6.8117030618302776E-4</v>
      </c>
    </row>
    <row r="129" spans="1:16" x14ac:dyDescent="0.3">
      <c r="A129" s="23">
        <f t="shared" si="35"/>
        <v>116</v>
      </c>
      <c r="C129" s="40">
        <v>18131923432</v>
      </c>
      <c r="D129" s="43" t="s">
        <v>302</v>
      </c>
      <c r="E129" s="40">
        <v>542800</v>
      </c>
      <c r="F129" s="55">
        <v>1.0163271420011983</v>
      </c>
      <c r="G129" s="61">
        <v>45195</v>
      </c>
      <c r="H129" s="40">
        <v>534080</v>
      </c>
      <c r="I129" s="57">
        <f t="shared" si="27"/>
        <v>-8720</v>
      </c>
      <c r="J129" s="58">
        <f t="shared" si="28"/>
        <v>76038400</v>
      </c>
      <c r="K129" s="57">
        <f t="shared" si="29"/>
        <v>590004.39267015702</v>
      </c>
      <c r="L129" s="57">
        <f t="shared" si="30"/>
        <v>-55924.392670157016</v>
      </c>
      <c r="M129" s="58">
        <f t="shared" si="31"/>
        <v>3127537695.5259118</v>
      </c>
      <c r="N129" s="59">
        <f t="shared" si="32"/>
        <v>3.5109531310466568E-3</v>
      </c>
      <c r="O129" s="26">
        <f t="shared" si="33"/>
        <v>8.5521672698083417E-3</v>
      </c>
      <c r="P129" s="26">
        <f t="shared" si="34"/>
        <v>7.313956501078106E-5</v>
      </c>
    </row>
    <row r="130" spans="1:16" x14ac:dyDescent="0.3">
      <c r="A130" s="23">
        <f t="shared" si="35"/>
        <v>117</v>
      </c>
      <c r="C130" s="40">
        <v>18131923420</v>
      </c>
      <c r="D130" s="43" t="s">
        <v>302</v>
      </c>
      <c r="E130" s="40">
        <v>576400</v>
      </c>
      <c r="F130" s="55">
        <v>0.97860780984719864</v>
      </c>
      <c r="G130" s="61">
        <v>45225</v>
      </c>
      <c r="H130" s="40">
        <v>589000</v>
      </c>
      <c r="I130" s="57">
        <f t="shared" si="27"/>
        <v>12600</v>
      </c>
      <c r="J130" s="58">
        <f t="shared" si="28"/>
        <v>158760000</v>
      </c>
      <c r="K130" s="57">
        <f t="shared" si="29"/>
        <v>590004.39267015702</v>
      </c>
      <c r="L130" s="57">
        <f t="shared" si="30"/>
        <v>-1004.3926701570163</v>
      </c>
      <c r="M130" s="58">
        <f t="shared" si="31"/>
        <v>1008804.6358651408</v>
      </c>
      <c r="N130" s="59">
        <f t="shared" si="32"/>
        <v>3.4208379022953039E-2</v>
      </c>
      <c r="O130" s="26">
        <f t="shared" si="33"/>
        <v>4.6271499423808038E-2</v>
      </c>
      <c r="P130" s="26">
        <f t="shared" si="34"/>
        <v>2.1410516589274674E-3</v>
      </c>
    </row>
    <row r="131" spans="1:16" x14ac:dyDescent="0.3">
      <c r="A131" s="23">
        <f t="shared" si="35"/>
        <v>118</v>
      </c>
      <c r="C131" s="40">
        <v>18131634443</v>
      </c>
      <c r="D131" s="43" t="s">
        <v>302</v>
      </c>
      <c r="E131" s="40">
        <v>644100</v>
      </c>
      <c r="F131" s="55">
        <v>0.92014285714285715</v>
      </c>
      <c r="G131" s="62">
        <v>44487</v>
      </c>
      <c r="H131" s="40">
        <v>700000</v>
      </c>
      <c r="I131" s="57">
        <f t="shared" si="27"/>
        <v>55900</v>
      </c>
      <c r="J131" s="58">
        <f t="shared" si="28"/>
        <v>3124810000</v>
      </c>
      <c r="K131" s="57">
        <f t="shared" si="29"/>
        <v>590004.39267015702</v>
      </c>
      <c r="L131" s="57">
        <f t="shared" si="30"/>
        <v>109995.60732984298</v>
      </c>
      <c r="M131" s="58">
        <f t="shared" si="31"/>
        <v>12099033631.861008</v>
      </c>
      <c r="N131" s="59">
        <f t="shared" si="32"/>
        <v>9.2673331727294528E-2</v>
      </c>
      <c r="O131" s="26">
        <f t="shared" si="33"/>
        <v>0.10473645212814953</v>
      </c>
      <c r="P131" s="26">
        <f t="shared" si="34"/>
        <v>1.0969724404392157E-2</v>
      </c>
    </row>
    <row r="132" spans="1:16" x14ac:dyDescent="0.3">
      <c r="A132" s="23">
        <f t="shared" si="35"/>
        <v>119</v>
      </c>
      <c r="C132" s="40">
        <v>18131634418</v>
      </c>
      <c r="D132" s="43" t="s">
        <v>302</v>
      </c>
      <c r="E132" s="40">
        <v>492900</v>
      </c>
      <c r="F132" s="55">
        <v>1.2971052631578948</v>
      </c>
      <c r="G132" s="62">
        <v>44460</v>
      </c>
      <c r="H132" s="40">
        <v>380000</v>
      </c>
      <c r="I132" s="57">
        <f t="shared" si="27"/>
        <v>-112900</v>
      </c>
      <c r="J132" s="58">
        <f t="shared" si="28"/>
        <v>12746410000</v>
      </c>
      <c r="K132" s="57">
        <f t="shared" si="29"/>
        <v>590004.39267015702</v>
      </c>
      <c r="L132" s="57">
        <f t="shared" si="30"/>
        <v>-210004.39267015702</v>
      </c>
      <c r="M132" s="58">
        <f t="shared" si="31"/>
        <v>44101844940.761497</v>
      </c>
      <c r="N132" s="59">
        <f t="shared" si="32"/>
        <v>0.28428907428774308</v>
      </c>
      <c r="O132" s="26">
        <f t="shared" si="33"/>
        <v>-0.27222595388688808</v>
      </c>
      <c r="P132" s="26">
        <f t="shared" si="34"/>
        <v>7.4106969969626124E-2</v>
      </c>
    </row>
    <row r="133" spans="1:16" x14ac:dyDescent="0.3">
      <c r="A133" s="23">
        <f t="shared" si="35"/>
        <v>120</v>
      </c>
      <c r="C133" s="40">
        <v>18131532462</v>
      </c>
      <c r="D133" s="23" t="s">
        <v>302</v>
      </c>
      <c r="E133" s="40">
        <v>518300</v>
      </c>
      <c r="F133" s="55">
        <v>1.0820459290187892</v>
      </c>
      <c r="G133" s="62">
        <v>44327</v>
      </c>
      <c r="H133" s="40">
        <v>479000</v>
      </c>
      <c r="I133" s="57">
        <f t="shared" si="27"/>
        <v>-39300</v>
      </c>
      <c r="J133" s="58">
        <f t="shared" si="28"/>
        <v>1544490000</v>
      </c>
      <c r="K133" s="57">
        <f t="shared" si="29"/>
        <v>590004.39267015702</v>
      </c>
      <c r="L133" s="57">
        <f t="shared" si="30"/>
        <v>-111004.39267015702</v>
      </c>
      <c r="M133" s="58">
        <f t="shared" si="31"/>
        <v>12321975192.070408</v>
      </c>
      <c r="N133" s="59">
        <f t="shared" si="32"/>
        <v>6.9229740148637475E-2</v>
      </c>
      <c r="O133" s="26">
        <f t="shared" si="33"/>
        <v>-5.7166619747782477E-2</v>
      </c>
      <c r="P133" s="26">
        <f t="shared" si="34"/>
        <v>3.2680224133875536E-3</v>
      </c>
    </row>
    <row r="134" spans="1:16" x14ac:dyDescent="0.3">
      <c r="A134" s="23">
        <f t="shared" si="35"/>
        <v>121</v>
      </c>
      <c r="C134" s="40">
        <v>18131533452</v>
      </c>
      <c r="D134" s="43" t="s">
        <v>302</v>
      </c>
      <c r="E134" s="40">
        <v>493100</v>
      </c>
      <c r="F134" s="55">
        <v>1.1968446601941747</v>
      </c>
      <c r="G134" s="61">
        <v>45268</v>
      </c>
      <c r="H134" s="40">
        <v>412000</v>
      </c>
      <c r="I134" s="57">
        <f t="shared" si="27"/>
        <v>-81100</v>
      </c>
      <c r="J134" s="58">
        <f t="shared" si="28"/>
        <v>6577210000</v>
      </c>
      <c r="K134" s="57">
        <f t="shared" si="29"/>
        <v>590004.39267015702</v>
      </c>
      <c r="L134" s="57">
        <f t="shared" si="30"/>
        <v>-178004.39267015702</v>
      </c>
      <c r="M134" s="58">
        <f t="shared" si="31"/>
        <v>31685563809.871449</v>
      </c>
      <c r="N134" s="59">
        <f t="shared" si="32"/>
        <v>0.184028471324023</v>
      </c>
      <c r="O134" s="26">
        <f t="shared" si="33"/>
        <v>-0.171965350923168</v>
      </c>
      <c r="P134" s="26">
        <f t="shared" si="34"/>
        <v>2.957208191812832E-2</v>
      </c>
    </row>
    <row r="135" spans="1:16" x14ac:dyDescent="0.3">
      <c r="A135" s="23">
        <f t="shared" si="35"/>
        <v>122</v>
      </c>
      <c r="C135" s="40">
        <v>18131643436</v>
      </c>
      <c r="D135" s="23" t="s">
        <v>302</v>
      </c>
      <c r="E135" s="40">
        <v>563700</v>
      </c>
      <c r="F135" s="55">
        <v>0.9395</v>
      </c>
      <c r="G135" s="62">
        <v>45218</v>
      </c>
      <c r="H135" s="40">
        <v>600000</v>
      </c>
      <c r="I135" s="57">
        <f t="shared" si="27"/>
        <v>36300</v>
      </c>
      <c r="J135" s="58">
        <f t="shared" si="28"/>
        <v>1317690000</v>
      </c>
      <c r="K135" s="57">
        <f t="shared" si="29"/>
        <v>590004.39267015702</v>
      </c>
      <c r="L135" s="57">
        <f t="shared" si="30"/>
        <v>9995.6073298429837</v>
      </c>
      <c r="M135" s="58">
        <f t="shared" si="31"/>
        <v>99912165.892410785</v>
      </c>
      <c r="N135" s="59">
        <f t="shared" si="32"/>
        <v>7.3316188870151677E-2</v>
      </c>
      <c r="O135" s="26">
        <f t="shared" si="33"/>
        <v>8.5379309271006676E-2</v>
      </c>
      <c r="P135" s="26">
        <f t="shared" si="34"/>
        <v>7.2896264515942069E-3</v>
      </c>
    </row>
    <row r="136" spans="1:16" x14ac:dyDescent="0.3">
      <c r="A136" s="23">
        <f t="shared" si="35"/>
        <v>123</v>
      </c>
      <c r="C136" s="40">
        <v>18131642421</v>
      </c>
      <c r="D136" s="23" t="s">
        <v>302</v>
      </c>
      <c r="E136" s="40">
        <v>600600</v>
      </c>
      <c r="F136" s="55">
        <v>1.0128161888701517</v>
      </c>
      <c r="G136" s="62">
        <v>44782</v>
      </c>
      <c r="H136" s="40">
        <v>593000</v>
      </c>
      <c r="I136" s="57">
        <f t="shared" si="27"/>
        <v>-7600</v>
      </c>
      <c r="J136" s="58">
        <f t="shared" si="28"/>
        <v>57760000</v>
      </c>
      <c r="K136" s="57">
        <f t="shared" si="29"/>
        <v>590004.39267015702</v>
      </c>
      <c r="L136" s="57">
        <f t="shared" si="30"/>
        <v>2995.6073298429837</v>
      </c>
      <c r="M136" s="58">
        <f t="shared" si="31"/>
        <v>8973663.2746090107</v>
      </c>
      <c r="N136" s="59">
        <f t="shared" si="32"/>
        <v>0</v>
      </c>
      <c r="O136" s="26">
        <f t="shared" si="33"/>
        <v>1.2063120400854999E-2</v>
      </c>
      <c r="P136" s="26">
        <f t="shared" si="34"/>
        <v>1.4551887380552406E-4</v>
      </c>
    </row>
    <row r="137" spans="1:16" x14ac:dyDescent="0.3">
      <c r="A137" s="23">
        <f t="shared" si="35"/>
        <v>124</v>
      </c>
      <c r="C137" s="40">
        <v>18131532415</v>
      </c>
      <c r="D137" s="23" t="s">
        <v>302</v>
      </c>
      <c r="E137" s="40">
        <v>530200</v>
      </c>
      <c r="F137" s="55">
        <v>0.98185185185185186</v>
      </c>
      <c r="G137" s="62">
        <v>44299</v>
      </c>
      <c r="H137" s="40">
        <v>540000</v>
      </c>
      <c r="I137" s="57">
        <f t="shared" si="27"/>
        <v>9800</v>
      </c>
      <c r="J137" s="58">
        <f t="shared" si="28"/>
        <v>96040000</v>
      </c>
      <c r="K137" s="57">
        <f t="shared" si="29"/>
        <v>590004.39267015702</v>
      </c>
      <c r="L137" s="57">
        <f t="shared" si="30"/>
        <v>-50004.392670157016</v>
      </c>
      <c r="M137" s="58">
        <f t="shared" si="31"/>
        <v>2500439286.3112526</v>
      </c>
      <c r="N137" s="59">
        <f t="shared" si="32"/>
        <v>3.0964337018299815E-2</v>
      </c>
      <c r="O137" s="26">
        <f t="shared" si="33"/>
        <v>4.3027457419154813E-2</v>
      </c>
      <c r="P137" s="26">
        <f t="shared" si="34"/>
        <v>1.8513620919571806E-3</v>
      </c>
    </row>
    <row r="138" spans="1:16" x14ac:dyDescent="0.3">
      <c r="A138" s="23">
        <f t="shared" si="35"/>
        <v>125</v>
      </c>
      <c r="C138" s="40">
        <v>18131634438</v>
      </c>
      <c r="D138" s="23" t="s">
        <v>302</v>
      </c>
      <c r="E138" s="40">
        <v>609500</v>
      </c>
      <c r="F138" s="55">
        <v>0.90296296296296297</v>
      </c>
      <c r="G138" s="62">
        <v>44775</v>
      </c>
      <c r="H138" s="40">
        <v>675000</v>
      </c>
      <c r="I138" s="57">
        <f t="shared" si="27"/>
        <v>65500</v>
      </c>
      <c r="J138" s="58">
        <f t="shared" si="28"/>
        <v>4290250000</v>
      </c>
      <c r="K138" s="57">
        <f t="shared" si="29"/>
        <v>590004.39267015702</v>
      </c>
      <c r="L138" s="57">
        <f t="shared" si="30"/>
        <v>84995.607329842984</v>
      </c>
      <c r="M138" s="58">
        <f t="shared" si="31"/>
        <v>7224253265.3688583</v>
      </c>
      <c r="N138" s="59">
        <f t="shared" si="32"/>
        <v>0.10985322590718871</v>
      </c>
      <c r="O138" s="26">
        <f t="shared" si="33"/>
        <v>0.12191634630804371</v>
      </c>
      <c r="P138" s="26">
        <f t="shared" si="34"/>
        <v>1.4863595497102844E-2</v>
      </c>
    </row>
    <row r="139" spans="1:16" x14ac:dyDescent="0.3">
      <c r="A139" s="23">
        <f t="shared" si="35"/>
        <v>126</v>
      </c>
      <c r="C139" s="40">
        <v>18131644539</v>
      </c>
      <c r="D139" s="43" t="s">
        <v>302</v>
      </c>
      <c r="E139" s="40">
        <v>529100</v>
      </c>
      <c r="F139" s="55">
        <v>1.1022916666666667</v>
      </c>
      <c r="G139" s="61">
        <v>44851</v>
      </c>
      <c r="H139" s="40">
        <v>480000</v>
      </c>
      <c r="I139" s="57">
        <f t="shared" si="27"/>
        <v>-49100</v>
      </c>
      <c r="J139" s="58">
        <f t="shared" si="28"/>
        <v>2410810000</v>
      </c>
      <c r="K139" s="57">
        <f t="shared" si="29"/>
        <v>590004.39267015702</v>
      </c>
      <c r="L139" s="57">
        <f t="shared" si="30"/>
        <v>-110004.39267015702</v>
      </c>
      <c r="M139" s="58">
        <f t="shared" si="31"/>
        <v>12100966406.730095</v>
      </c>
      <c r="N139" s="59">
        <f t="shared" si="32"/>
        <v>8.9475477796514991E-2</v>
      </c>
      <c r="O139" s="26">
        <f t="shared" si="33"/>
        <v>-7.7412357395659992E-2</v>
      </c>
      <c r="P139" s="26">
        <f t="shared" si="34"/>
        <v>5.9926730775533938E-3</v>
      </c>
    </row>
    <row r="140" spans="1:16" x14ac:dyDescent="0.3">
      <c r="A140" s="23">
        <f t="shared" si="35"/>
        <v>127</v>
      </c>
      <c r="C140" s="40">
        <v>18131532462</v>
      </c>
      <c r="D140" s="43" t="s">
        <v>302</v>
      </c>
      <c r="E140" s="40">
        <v>610200</v>
      </c>
      <c r="F140" s="55">
        <v>1.0994594594594596</v>
      </c>
      <c r="G140" s="61">
        <v>44855</v>
      </c>
      <c r="H140" s="40">
        <v>555000</v>
      </c>
      <c r="I140" s="57">
        <f t="shared" si="27"/>
        <v>-55200</v>
      </c>
      <c r="J140" s="58">
        <f t="shared" si="28"/>
        <v>3047040000</v>
      </c>
      <c r="K140" s="57">
        <f t="shared" si="29"/>
        <v>590004.39267015702</v>
      </c>
      <c r="L140" s="57">
        <f t="shared" si="30"/>
        <v>-35004.392670157016</v>
      </c>
      <c r="M140" s="58">
        <f t="shared" si="31"/>
        <v>1225307506.2065423</v>
      </c>
      <c r="N140" s="59">
        <f t="shared" si="32"/>
        <v>8.6643270589307875E-2</v>
      </c>
      <c r="O140" s="26">
        <f t="shared" si="33"/>
        <v>-7.4580150188452876E-2</v>
      </c>
      <c r="P140" s="26">
        <f t="shared" si="34"/>
        <v>5.5621988021321879E-3</v>
      </c>
    </row>
    <row r="141" spans="1:16" x14ac:dyDescent="0.3">
      <c r="A141" s="23">
        <f t="shared" si="35"/>
        <v>128</v>
      </c>
      <c r="C141" s="40">
        <v>18131923412</v>
      </c>
      <c r="D141" s="43" t="s">
        <v>302</v>
      </c>
      <c r="E141" s="40">
        <v>704100</v>
      </c>
      <c r="F141" s="55">
        <v>0.97117241379310348</v>
      </c>
      <c r="G141" s="62">
        <v>44810</v>
      </c>
      <c r="H141" s="40">
        <v>725000</v>
      </c>
      <c r="I141" s="57">
        <f t="shared" si="27"/>
        <v>20900</v>
      </c>
      <c r="J141" s="58">
        <f t="shared" si="28"/>
        <v>436810000</v>
      </c>
      <c r="K141" s="57">
        <f t="shared" si="29"/>
        <v>590004.39267015702</v>
      </c>
      <c r="L141" s="57">
        <f t="shared" si="30"/>
        <v>134995.60732984298</v>
      </c>
      <c r="M141" s="58">
        <f t="shared" si="31"/>
        <v>18223813998.353157</v>
      </c>
      <c r="N141" s="59">
        <f t="shared" si="32"/>
        <v>4.1643775077048195E-2</v>
      </c>
      <c r="O141" s="26">
        <f t="shared" si="33"/>
        <v>5.3706895477903194E-2</v>
      </c>
      <c r="P141" s="26">
        <f t="shared" si="34"/>
        <v>2.8844306218744186E-3</v>
      </c>
    </row>
    <row r="142" spans="1:16" x14ac:dyDescent="0.3">
      <c r="A142" s="23">
        <f t="shared" si="35"/>
        <v>129</v>
      </c>
      <c r="C142" s="40">
        <v>18131523024</v>
      </c>
      <c r="D142" s="23" t="s">
        <v>302</v>
      </c>
      <c r="E142" s="40">
        <v>558400</v>
      </c>
      <c r="F142" s="55">
        <v>0.82725925925925925</v>
      </c>
      <c r="G142" s="62">
        <v>44455</v>
      </c>
      <c r="H142" s="40">
        <v>675000</v>
      </c>
      <c r="I142" s="57">
        <f t="shared" ref="I142:I173" si="36">+H142-E142</f>
        <v>116600</v>
      </c>
      <c r="J142" s="58">
        <f t="shared" ref="J142:J173" si="37">+I142^2</f>
        <v>13595560000</v>
      </c>
      <c r="K142" s="57">
        <f t="shared" ref="K142:K173" si="38">AVERAGE($H$14:$H$1419)</f>
        <v>590004.39267015702</v>
      </c>
      <c r="L142" s="57">
        <f t="shared" ref="L142:L173" si="39">+H142-K142</f>
        <v>84995.607329842984</v>
      </c>
      <c r="M142" s="58">
        <f t="shared" ref="M142:M173" si="40">+L142^2</f>
        <v>7224253265.3688583</v>
      </c>
      <c r="N142" s="59">
        <f t="shared" ref="N142:N173" si="41">ABS(+$F$2-F142)</f>
        <v>0.18555692961089243</v>
      </c>
      <c r="O142" s="26">
        <f t="shared" ref="O142:O173" si="42">+$F$3-F142</f>
        <v>0.19762005001174743</v>
      </c>
      <c r="P142" s="26">
        <f t="shared" ref="P142:P173" si="43">+O142*O142</f>
        <v>3.9053684166645557E-2</v>
      </c>
    </row>
    <row r="143" spans="1:16" x14ac:dyDescent="0.3">
      <c r="A143" s="23">
        <f t="shared" ref="A143:A174" si="44">+A142+1</f>
        <v>130</v>
      </c>
      <c r="C143" s="40">
        <v>18131523425</v>
      </c>
      <c r="D143" s="43" t="s">
        <v>302</v>
      </c>
      <c r="E143" s="40">
        <v>525500</v>
      </c>
      <c r="F143" s="55">
        <v>0.89829059829059832</v>
      </c>
      <c r="G143" s="61">
        <v>44432</v>
      </c>
      <c r="H143" s="40">
        <v>585000</v>
      </c>
      <c r="I143" s="57">
        <f t="shared" si="36"/>
        <v>59500</v>
      </c>
      <c r="J143" s="58">
        <f t="shared" si="37"/>
        <v>3540250000</v>
      </c>
      <c r="K143" s="57">
        <f t="shared" si="38"/>
        <v>590004.39267015702</v>
      </c>
      <c r="L143" s="57">
        <f t="shared" si="39"/>
        <v>-5004.3926701570163</v>
      </c>
      <c r="M143" s="58">
        <f t="shared" si="40"/>
        <v>25043945.997121271</v>
      </c>
      <c r="N143" s="59">
        <f t="shared" si="41"/>
        <v>0.11452559057955336</v>
      </c>
      <c r="O143" s="26">
        <f t="shared" si="42"/>
        <v>0.12658871098040836</v>
      </c>
      <c r="P143" s="26">
        <f t="shared" si="43"/>
        <v>1.602470174768136E-2</v>
      </c>
    </row>
    <row r="144" spans="1:16" x14ac:dyDescent="0.3">
      <c r="A144" s="23">
        <f t="shared" si="44"/>
        <v>131</v>
      </c>
      <c r="C144" s="40">
        <v>18131534484</v>
      </c>
      <c r="D144" s="23" t="s">
        <v>302</v>
      </c>
      <c r="E144" s="40">
        <v>399000</v>
      </c>
      <c r="F144" s="55">
        <v>1.1335227272727273</v>
      </c>
      <c r="G144" s="62">
        <v>44679</v>
      </c>
      <c r="H144" s="40">
        <v>352000</v>
      </c>
      <c r="I144" s="57">
        <f t="shared" si="36"/>
        <v>-47000</v>
      </c>
      <c r="J144" s="58">
        <f t="shared" si="37"/>
        <v>2209000000</v>
      </c>
      <c r="K144" s="57">
        <f t="shared" si="38"/>
        <v>590004.39267015702</v>
      </c>
      <c r="L144" s="57">
        <f t="shared" si="39"/>
        <v>-238004.39267015702</v>
      </c>
      <c r="M144" s="58">
        <f t="shared" si="40"/>
        <v>56646090930.290291</v>
      </c>
      <c r="N144" s="59">
        <f t="shared" si="41"/>
        <v>0.12070653840257561</v>
      </c>
      <c r="O144" s="26">
        <f t="shared" si="42"/>
        <v>-0.10864341800172062</v>
      </c>
      <c r="P144" s="26">
        <f t="shared" si="43"/>
        <v>1.1803392275096591E-2</v>
      </c>
    </row>
    <row r="145" spans="1:16" x14ac:dyDescent="0.3">
      <c r="A145" s="23">
        <f t="shared" si="44"/>
        <v>132</v>
      </c>
      <c r="C145" s="40">
        <v>18131524466</v>
      </c>
      <c r="D145" s="23" t="s">
        <v>302</v>
      </c>
      <c r="E145" s="40">
        <v>550700</v>
      </c>
      <c r="F145" s="55">
        <v>0.88112000000000001</v>
      </c>
      <c r="G145" s="62">
        <v>44522</v>
      </c>
      <c r="H145" s="40">
        <v>625000</v>
      </c>
      <c r="I145" s="57">
        <f t="shared" si="36"/>
        <v>74300</v>
      </c>
      <c r="J145" s="58">
        <f t="shared" si="37"/>
        <v>5520490000</v>
      </c>
      <c r="K145" s="57">
        <f t="shared" si="38"/>
        <v>590004.39267015702</v>
      </c>
      <c r="L145" s="57">
        <f t="shared" si="39"/>
        <v>34995.607329842984</v>
      </c>
      <c r="M145" s="58">
        <f t="shared" si="40"/>
        <v>1224692532.3845599</v>
      </c>
      <c r="N145" s="59">
        <f t="shared" si="41"/>
        <v>0.13169618887015166</v>
      </c>
      <c r="O145" s="26">
        <f t="shared" si="42"/>
        <v>0.14375930927100666</v>
      </c>
      <c r="P145" s="26">
        <f t="shared" si="43"/>
        <v>2.0666739002076943E-2</v>
      </c>
    </row>
    <row r="146" spans="1:16" x14ac:dyDescent="0.3">
      <c r="A146" s="23">
        <f t="shared" si="44"/>
        <v>133</v>
      </c>
      <c r="C146" s="40">
        <v>18131523419</v>
      </c>
      <c r="D146" s="23" t="s">
        <v>302</v>
      </c>
      <c r="E146" s="40">
        <v>669500</v>
      </c>
      <c r="F146" s="55">
        <v>1.2172727272727273</v>
      </c>
      <c r="G146" s="62">
        <v>44572</v>
      </c>
      <c r="H146" s="40">
        <v>550000</v>
      </c>
      <c r="I146" s="57">
        <f t="shared" si="36"/>
        <v>-119500</v>
      </c>
      <c r="J146" s="58">
        <f t="shared" si="37"/>
        <v>14280250000</v>
      </c>
      <c r="K146" s="57">
        <f t="shared" si="38"/>
        <v>590004.39267015702</v>
      </c>
      <c r="L146" s="57">
        <f t="shared" si="39"/>
        <v>-40004.392670157016</v>
      </c>
      <c r="M146" s="58">
        <f t="shared" si="40"/>
        <v>1600351432.9081125</v>
      </c>
      <c r="N146" s="59">
        <f t="shared" si="41"/>
        <v>0.2044565384025756</v>
      </c>
      <c r="O146" s="26">
        <f t="shared" si="42"/>
        <v>-0.19239341800172061</v>
      </c>
      <c r="P146" s="26">
        <f t="shared" si="43"/>
        <v>3.701522729038479E-2</v>
      </c>
    </row>
    <row r="147" spans="1:16" x14ac:dyDescent="0.3">
      <c r="A147" s="23">
        <f t="shared" si="44"/>
        <v>134</v>
      </c>
      <c r="C147" s="40">
        <v>18131533471</v>
      </c>
      <c r="D147" s="43" t="s">
        <v>302</v>
      </c>
      <c r="E147" s="40">
        <v>504300</v>
      </c>
      <c r="F147" s="55">
        <v>0.93910614525139668</v>
      </c>
      <c r="G147" s="61">
        <v>44742</v>
      </c>
      <c r="H147" s="40">
        <v>537000</v>
      </c>
      <c r="I147" s="57">
        <f t="shared" si="36"/>
        <v>32700</v>
      </c>
      <c r="J147" s="58">
        <f t="shared" si="37"/>
        <v>1069290000</v>
      </c>
      <c r="K147" s="57">
        <f t="shared" si="38"/>
        <v>590004.39267015702</v>
      </c>
      <c r="L147" s="57">
        <f t="shared" si="39"/>
        <v>-53004.392670157016</v>
      </c>
      <c r="M147" s="58">
        <f t="shared" si="40"/>
        <v>2809465642.3321948</v>
      </c>
      <c r="N147" s="59">
        <f t="shared" si="41"/>
        <v>7.3710043618754995E-2</v>
      </c>
      <c r="O147" s="26">
        <f t="shared" si="42"/>
        <v>8.5773164019609993E-2</v>
      </c>
      <c r="P147" s="26">
        <f t="shared" si="43"/>
        <v>7.3570356659349179E-3</v>
      </c>
    </row>
    <row r="148" spans="1:16" x14ac:dyDescent="0.3">
      <c r="A148" s="23">
        <f t="shared" si="44"/>
        <v>135</v>
      </c>
      <c r="C148" s="40">
        <v>18131744444</v>
      </c>
      <c r="D148" s="43" t="s">
        <v>302</v>
      </c>
      <c r="E148" s="40">
        <v>418900</v>
      </c>
      <c r="F148" s="55">
        <v>0.99738095238095237</v>
      </c>
      <c r="G148" s="62">
        <v>44817</v>
      </c>
      <c r="H148" s="40">
        <v>420000</v>
      </c>
      <c r="I148" s="57">
        <f t="shared" si="36"/>
        <v>1100</v>
      </c>
      <c r="J148" s="58">
        <f t="shared" si="37"/>
        <v>1210000</v>
      </c>
      <c r="K148" s="57">
        <f t="shared" si="38"/>
        <v>590004.39267015702</v>
      </c>
      <c r="L148" s="57">
        <f t="shared" si="39"/>
        <v>-170004.39267015702</v>
      </c>
      <c r="M148" s="58">
        <f t="shared" si="40"/>
        <v>28901493527.148937</v>
      </c>
      <c r="N148" s="59">
        <f t="shared" si="41"/>
        <v>1.5435236489199311E-2</v>
      </c>
      <c r="O148" s="26">
        <f t="shared" si="42"/>
        <v>2.749835689005431E-2</v>
      </c>
      <c r="P148" s="26">
        <f t="shared" si="43"/>
        <v>7.561596316527973E-4</v>
      </c>
    </row>
    <row r="149" spans="1:16" x14ac:dyDescent="0.3">
      <c r="A149" s="23">
        <f t="shared" si="44"/>
        <v>136</v>
      </c>
      <c r="C149" s="40">
        <v>18131744448</v>
      </c>
      <c r="D149" s="43" t="s">
        <v>302</v>
      </c>
      <c r="E149" s="40">
        <v>432600</v>
      </c>
      <c r="F149" s="55">
        <v>0.92435897435897441</v>
      </c>
      <c r="G149" s="62">
        <v>45132</v>
      </c>
      <c r="H149" s="40">
        <v>468000</v>
      </c>
      <c r="I149" s="57">
        <f t="shared" si="36"/>
        <v>35400</v>
      </c>
      <c r="J149" s="58">
        <f t="shared" si="37"/>
        <v>1253160000</v>
      </c>
      <c r="K149" s="57">
        <f t="shared" si="38"/>
        <v>590004.39267015702</v>
      </c>
      <c r="L149" s="57">
        <f t="shared" si="39"/>
        <v>-122004.39267015702</v>
      </c>
      <c r="M149" s="58">
        <f t="shared" si="40"/>
        <v>14885071830.813864</v>
      </c>
      <c r="N149" s="59">
        <f t="shared" si="41"/>
        <v>8.8457214511177273E-2</v>
      </c>
      <c r="O149" s="26">
        <f t="shared" si="42"/>
        <v>0.10052033491203227</v>
      </c>
      <c r="P149" s="26">
        <f t="shared" si="43"/>
        <v>1.0104337730827135E-2</v>
      </c>
    </row>
    <row r="150" spans="1:16" x14ac:dyDescent="0.3">
      <c r="A150" s="23">
        <f t="shared" si="44"/>
        <v>137</v>
      </c>
      <c r="C150" s="40">
        <v>18131744446</v>
      </c>
      <c r="D150" s="43" t="s">
        <v>302</v>
      </c>
      <c r="E150" s="40">
        <v>440300</v>
      </c>
      <c r="F150" s="55">
        <v>1.128974358974359</v>
      </c>
      <c r="G150" s="62">
        <v>44491</v>
      </c>
      <c r="H150" s="40">
        <v>390000</v>
      </c>
      <c r="I150" s="57">
        <f t="shared" si="36"/>
        <v>-50300</v>
      </c>
      <c r="J150" s="58">
        <f t="shared" si="37"/>
        <v>2530090000</v>
      </c>
      <c r="K150" s="57">
        <f t="shared" si="38"/>
        <v>590004.39267015702</v>
      </c>
      <c r="L150" s="57">
        <f t="shared" si="39"/>
        <v>-200004.39267015702</v>
      </c>
      <c r="M150" s="58">
        <f t="shared" si="40"/>
        <v>40001757087.35836</v>
      </c>
      <c r="N150" s="59">
        <f t="shared" si="41"/>
        <v>0.11615817010420737</v>
      </c>
      <c r="O150" s="26">
        <f t="shared" si="42"/>
        <v>-0.10409504970335237</v>
      </c>
      <c r="P150" s="26">
        <f t="shared" si="43"/>
        <v>1.0835779372743401E-2</v>
      </c>
    </row>
    <row r="151" spans="1:16" x14ac:dyDescent="0.3">
      <c r="A151" s="23">
        <f t="shared" si="44"/>
        <v>138</v>
      </c>
      <c r="C151" s="40">
        <v>17132424433</v>
      </c>
      <c r="D151" s="23" t="s">
        <v>302</v>
      </c>
      <c r="E151" s="40">
        <v>592700</v>
      </c>
      <c r="F151" s="55">
        <v>1.0490265486725663</v>
      </c>
      <c r="G151" s="62">
        <v>44812</v>
      </c>
      <c r="H151" s="40">
        <v>565000</v>
      </c>
      <c r="I151" s="57">
        <f t="shared" si="36"/>
        <v>-27700</v>
      </c>
      <c r="J151" s="58">
        <f t="shared" si="37"/>
        <v>767290000</v>
      </c>
      <c r="K151" s="57">
        <f t="shared" si="38"/>
        <v>590004.39267015702</v>
      </c>
      <c r="L151" s="57">
        <f t="shared" si="39"/>
        <v>-25004.392670157016</v>
      </c>
      <c r="M151" s="58">
        <f t="shared" si="40"/>
        <v>625219652.80340195</v>
      </c>
      <c r="N151" s="59">
        <f t="shared" si="41"/>
        <v>3.6210359802414605E-2</v>
      </c>
      <c r="O151" s="26">
        <f t="shared" si="42"/>
        <v>-2.4147239401559606E-2</v>
      </c>
      <c r="P151" s="26">
        <f t="shared" si="43"/>
        <v>5.8308917071623267E-4</v>
      </c>
    </row>
    <row r="152" spans="1:16" x14ac:dyDescent="0.3">
      <c r="A152" s="23">
        <f t="shared" si="44"/>
        <v>139</v>
      </c>
      <c r="C152" s="40">
        <v>18131523005</v>
      </c>
      <c r="D152" s="23" t="s">
        <v>302</v>
      </c>
      <c r="E152" s="40">
        <v>547100</v>
      </c>
      <c r="F152" s="55">
        <v>1.0444826269568537</v>
      </c>
      <c r="G152" s="62">
        <v>44278</v>
      </c>
      <c r="H152" s="40">
        <v>523800</v>
      </c>
      <c r="I152" s="57">
        <f t="shared" si="36"/>
        <v>-23300</v>
      </c>
      <c r="J152" s="58">
        <f t="shared" si="37"/>
        <v>542890000</v>
      </c>
      <c r="K152" s="57">
        <f t="shared" si="38"/>
        <v>590004.39267015702</v>
      </c>
      <c r="L152" s="57">
        <f t="shared" si="39"/>
        <v>-66204.392670157016</v>
      </c>
      <c r="M152" s="58">
        <f t="shared" si="40"/>
        <v>4383021608.8243399</v>
      </c>
      <c r="N152" s="59">
        <f t="shared" si="41"/>
        <v>3.1666438086701998E-2</v>
      </c>
      <c r="O152" s="26">
        <f t="shared" si="42"/>
        <v>-1.9603317685846999E-2</v>
      </c>
      <c r="P152" s="26">
        <f t="shared" si="43"/>
        <v>3.8429006429224175E-4</v>
      </c>
    </row>
    <row r="153" spans="1:16" x14ac:dyDescent="0.3">
      <c r="A153" s="23">
        <f t="shared" si="44"/>
        <v>140</v>
      </c>
      <c r="C153" s="40">
        <v>18131723407</v>
      </c>
      <c r="D153" s="23" t="s">
        <v>302</v>
      </c>
      <c r="E153" s="40">
        <v>989300</v>
      </c>
      <c r="F153" s="55">
        <v>0.89126126126126126</v>
      </c>
      <c r="G153" s="62">
        <v>44680</v>
      </c>
      <c r="H153" s="40">
        <v>1110000</v>
      </c>
      <c r="I153" s="57">
        <f t="shared" si="36"/>
        <v>120700</v>
      </c>
      <c r="J153" s="58">
        <f t="shared" si="37"/>
        <v>14568490000</v>
      </c>
      <c r="K153" s="57">
        <f t="shared" si="38"/>
        <v>590004.39267015702</v>
      </c>
      <c r="L153" s="57">
        <f t="shared" si="39"/>
        <v>519995.60732984298</v>
      </c>
      <c r="M153" s="58">
        <f t="shared" si="40"/>
        <v>270395431642.33224</v>
      </c>
      <c r="N153" s="59">
        <f t="shared" si="41"/>
        <v>0.12155492760889042</v>
      </c>
      <c r="O153" s="26">
        <f t="shared" si="42"/>
        <v>0.13361804800974542</v>
      </c>
      <c r="P153" s="26">
        <f t="shared" si="43"/>
        <v>1.7853782753934632E-2</v>
      </c>
    </row>
    <row r="154" spans="1:16" x14ac:dyDescent="0.3">
      <c r="A154" s="23">
        <f t="shared" si="44"/>
        <v>141</v>
      </c>
      <c r="C154" s="40">
        <v>18131733430</v>
      </c>
      <c r="D154" s="23" t="s">
        <v>302</v>
      </c>
      <c r="E154" s="40">
        <v>635200</v>
      </c>
      <c r="F154" s="55">
        <v>0.94103703703703701</v>
      </c>
      <c r="G154" s="62">
        <v>44285</v>
      </c>
      <c r="H154" s="40">
        <v>675000</v>
      </c>
      <c r="I154" s="57">
        <f t="shared" si="36"/>
        <v>39800</v>
      </c>
      <c r="J154" s="58">
        <f t="shared" si="37"/>
        <v>1584040000</v>
      </c>
      <c r="K154" s="57">
        <f t="shared" si="38"/>
        <v>590004.39267015702</v>
      </c>
      <c r="L154" s="57">
        <f t="shared" si="39"/>
        <v>84995.607329842984</v>
      </c>
      <c r="M154" s="58">
        <f t="shared" si="40"/>
        <v>7224253265.3688583</v>
      </c>
      <c r="N154" s="59">
        <f t="shared" si="41"/>
        <v>7.1779151833114674E-2</v>
      </c>
      <c r="O154" s="26">
        <f t="shared" si="42"/>
        <v>8.3842272233969672E-2</v>
      </c>
      <c r="P154" s="26">
        <f t="shared" si="43"/>
        <v>7.0295266133550815E-3</v>
      </c>
    </row>
    <row r="155" spans="1:16" x14ac:dyDescent="0.3">
      <c r="A155" s="23">
        <f t="shared" si="44"/>
        <v>142</v>
      </c>
      <c r="C155" s="40">
        <v>18131743445</v>
      </c>
      <c r="D155" s="43" t="s">
        <v>302</v>
      </c>
      <c r="E155" s="40">
        <v>597300</v>
      </c>
      <c r="F155" s="55">
        <v>0.99550000000000005</v>
      </c>
      <c r="G155" s="62">
        <v>44802</v>
      </c>
      <c r="H155" s="40">
        <v>600000</v>
      </c>
      <c r="I155" s="57">
        <f t="shared" si="36"/>
        <v>2700</v>
      </c>
      <c r="J155" s="58">
        <f t="shared" si="37"/>
        <v>7290000</v>
      </c>
      <c r="K155" s="57">
        <f t="shared" si="38"/>
        <v>590004.39267015702</v>
      </c>
      <c r="L155" s="57">
        <f t="shared" si="39"/>
        <v>9995.6073298429837</v>
      </c>
      <c r="M155" s="58">
        <f t="shared" si="40"/>
        <v>99912165.892410785</v>
      </c>
      <c r="N155" s="59">
        <f t="shared" si="41"/>
        <v>1.7316188870151628E-2</v>
      </c>
      <c r="O155" s="26">
        <f t="shared" si="42"/>
        <v>2.9379309271006626E-2</v>
      </c>
      <c r="P155" s="26">
        <f t="shared" si="43"/>
        <v>8.6314381324145587E-4</v>
      </c>
    </row>
    <row r="156" spans="1:16" x14ac:dyDescent="0.3">
      <c r="A156" s="23">
        <f t="shared" si="44"/>
        <v>143</v>
      </c>
      <c r="C156" s="40">
        <v>18131743488</v>
      </c>
      <c r="D156" s="43" t="s">
        <v>302</v>
      </c>
      <c r="E156" s="40">
        <v>621200</v>
      </c>
      <c r="F156" s="55">
        <v>1.1033747779751333</v>
      </c>
      <c r="G156" s="61">
        <v>44840</v>
      </c>
      <c r="H156" s="40">
        <v>563000</v>
      </c>
      <c r="I156" s="57">
        <f t="shared" si="36"/>
        <v>-58200</v>
      </c>
      <c r="J156" s="58">
        <f t="shared" si="37"/>
        <v>3387240000</v>
      </c>
      <c r="K156" s="57">
        <f t="shared" si="38"/>
        <v>590004.39267015702</v>
      </c>
      <c r="L156" s="57">
        <f t="shared" si="39"/>
        <v>-27004.392670157016</v>
      </c>
      <c r="M156" s="58">
        <f t="shared" si="40"/>
        <v>729237223.48403001</v>
      </c>
      <c r="N156" s="59">
        <f t="shared" si="41"/>
        <v>9.0558589104981602E-2</v>
      </c>
      <c r="O156" s="26">
        <f t="shared" si="42"/>
        <v>-7.8495468704126603E-2</v>
      </c>
      <c r="P156" s="26">
        <f t="shared" si="43"/>
        <v>6.1615386070805189E-3</v>
      </c>
    </row>
    <row r="157" spans="1:16" x14ac:dyDescent="0.3">
      <c r="A157" s="23">
        <f t="shared" si="44"/>
        <v>144</v>
      </c>
      <c r="C157" s="40">
        <v>18131533462</v>
      </c>
      <c r="D157" s="23" t="s">
        <v>302</v>
      </c>
      <c r="E157" s="40">
        <v>442300</v>
      </c>
      <c r="F157" s="55">
        <v>1.1488311688311688</v>
      </c>
      <c r="G157" s="62">
        <v>45209</v>
      </c>
      <c r="H157" s="40">
        <v>385000</v>
      </c>
      <c r="I157" s="57">
        <f t="shared" si="36"/>
        <v>-57300</v>
      </c>
      <c r="J157" s="58">
        <f t="shared" si="37"/>
        <v>3283290000</v>
      </c>
      <c r="K157" s="57">
        <f t="shared" si="38"/>
        <v>590004.39267015702</v>
      </c>
      <c r="L157" s="57">
        <f t="shared" si="39"/>
        <v>-205004.39267015702</v>
      </c>
      <c r="M157" s="58">
        <f t="shared" si="40"/>
        <v>42026801014.059929</v>
      </c>
      <c r="N157" s="59">
        <f t="shared" si="41"/>
        <v>0.13601497996101708</v>
      </c>
      <c r="O157" s="26">
        <f t="shared" si="42"/>
        <v>-0.12395185956016208</v>
      </c>
      <c r="P157" s="26">
        <f t="shared" si="43"/>
        <v>1.5364063488422144E-2</v>
      </c>
    </row>
    <row r="158" spans="1:16" x14ac:dyDescent="0.3">
      <c r="A158" s="23">
        <f t="shared" si="44"/>
        <v>145</v>
      </c>
      <c r="C158" s="40">
        <v>18131744402</v>
      </c>
      <c r="D158" s="43" t="s">
        <v>302</v>
      </c>
      <c r="E158" s="40">
        <v>755700</v>
      </c>
      <c r="F158" s="55">
        <v>0.88905882352941179</v>
      </c>
      <c r="G158" s="61">
        <v>44686</v>
      </c>
      <c r="H158" s="40">
        <v>850000</v>
      </c>
      <c r="I158" s="57">
        <f t="shared" si="36"/>
        <v>94300</v>
      </c>
      <c r="J158" s="58">
        <f t="shared" si="37"/>
        <v>8892490000</v>
      </c>
      <c r="K158" s="57">
        <f t="shared" si="38"/>
        <v>590004.39267015702</v>
      </c>
      <c r="L158" s="57">
        <f t="shared" si="39"/>
        <v>259995.60732984298</v>
      </c>
      <c r="M158" s="58">
        <f t="shared" si="40"/>
        <v>67597715830.813904</v>
      </c>
      <c r="N158" s="59">
        <f t="shared" si="41"/>
        <v>0.12375736534073989</v>
      </c>
      <c r="O158" s="26">
        <f t="shared" si="42"/>
        <v>0.13582048574159489</v>
      </c>
      <c r="P158" s="26">
        <f t="shared" si="43"/>
        <v>1.8447204347082781E-2</v>
      </c>
    </row>
    <row r="159" spans="1:16" x14ac:dyDescent="0.3">
      <c r="A159" s="23">
        <f t="shared" si="44"/>
        <v>146</v>
      </c>
      <c r="C159" s="40">
        <v>18131533453</v>
      </c>
      <c r="D159" s="23" t="s">
        <v>302</v>
      </c>
      <c r="E159" s="40">
        <v>490300</v>
      </c>
      <c r="F159" s="55">
        <v>1.0740416210295729</v>
      </c>
      <c r="G159" s="62">
        <v>45064</v>
      </c>
      <c r="H159" s="40">
        <v>456500</v>
      </c>
      <c r="I159" s="57">
        <f t="shared" si="36"/>
        <v>-33800</v>
      </c>
      <c r="J159" s="58">
        <f t="shared" si="37"/>
        <v>1142440000</v>
      </c>
      <c r="K159" s="57">
        <f t="shared" si="38"/>
        <v>590004.39267015702</v>
      </c>
      <c r="L159" s="57">
        <f t="shared" si="39"/>
        <v>-133504.39267015702</v>
      </c>
      <c r="M159" s="58">
        <f t="shared" si="40"/>
        <v>17823422862.227474</v>
      </c>
      <c r="N159" s="59">
        <f t="shared" si="41"/>
        <v>6.1225432159421223E-2</v>
      </c>
      <c r="O159" s="26">
        <f t="shared" si="42"/>
        <v>-4.9162311758566224E-2</v>
      </c>
      <c r="P159" s="26">
        <f t="shared" si="43"/>
        <v>2.4169328974464588E-3</v>
      </c>
    </row>
    <row r="160" spans="1:16" x14ac:dyDescent="0.3">
      <c r="A160" s="23">
        <f t="shared" si="44"/>
        <v>147</v>
      </c>
      <c r="C160" s="40">
        <v>18131533461</v>
      </c>
      <c r="D160" s="43" t="s">
        <v>302</v>
      </c>
      <c r="E160" s="40">
        <v>527200</v>
      </c>
      <c r="F160" s="55">
        <v>1.1715555555555555</v>
      </c>
      <c r="G160" s="62">
        <v>44559</v>
      </c>
      <c r="H160" s="40">
        <v>450000</v>
      </c>
      <c r="I160" s="57">
        <f t="shared" si="36"/>
        <v>-77200</v>
      </c>
      <c r="J160" s="58">
        <f t="shared" si="37"/>
        <v>5959840000</v>
      </c>
      <c r="K160" s="57">
        <f t="shared" si="38"/>
        <v>590004.39267015702</v>
      </c>
      <c r="L160" s="57">
        <f t="shared" si="39"/>
        <v>-140004.39267015702</v>
      </c>
      <c r="M160" s="58">
        <f t="shared" si="40"/>
        <v>19601229966.939514</v>
      </c>
      <c r="N160" s="59">
        <f t="shared" si="41"/>
        <v>0.15873936668540378</v>
      </c>
      <c r="O160" s="26">
        <f t="shared" si="42"/>
        <v>-0.14667624628454878</v>
      </c>
      <c r="P160" s="26">
        <f t="shared" si="43"/>
        <v>2.1513921224125612E-2</v>
      </c>
    </row>
    <row r="161" spans="1:16" x14ac:dyDescent="0.3">
      <c r="A161" s="23">
        <f t="shared" si="44"/>
        <v>148</v>
      </c>
      <c r="C161" s="40">
        <v>18131523006</v>
      </c>
      <c r="D161" s="23" t="s">
        <v>302</v>
      </c>
      <c r="E161" s="40">
        <v>601400</v>
      </c>
      <c r="F161" s="55">
        <v>1.0315608919382504</v>
      </c>
      <c r="G161" s="62">
        <v>45107</v>
      </c>
      <c r="H161" s="40">
        <v>583000</v>
      </c>
      <c r="I161" s="57">
        <f t="shared" si="36"/>
        <v>-18400</v>
      </c>
      <c r="J161" s="58">
        <f t="shared" si="37"/>
        <v>338560000</v>
      </c>
      <c r="K161" s="57">
        <f t="shared" si="38"/>
        <v>590004.39267015702</v>
      </c>
      <c r="L161" s="57">
        <f t="shared" si="39"/>
        <v>-7004.3926701570163</v>
      </c>
      <c r="M161" s="58">
        <f t="shared" si="40"/>
        <v>49061516.677749336</v>
      </c>
      <c r="N161" s="59">
        <f t="shared" si="41"/>
        <v>1.8744703068098723E-2</v>
      </c>
      <c r="O161" s="26">
        <f t="shared" si="42"/>
        <v>-6.681582667243724E-3</v>
      </c>
      <c r="P161" s="26">
        <f t="shared" si="43"/>
        <v>4.4643546939211755E-5</v>
      </c>
    </row>
    <row r="162" spans="1:16" x14ac:dyDescent="0.3">
      <c r="A162" s="23">
        <f t="shared" si="44"/>
        <v>149</v>
      </c>
      <c r="C162" s="40">
        <v>18131613447</v>
      </c>
      <c r="D162" s="43" t="s">
        <v>302</v>
      </c>
      <c r="E162" s="40">
        <v>692900</v>
      </c>
      <c r="F162" s="55">
        <v>0.90221354166666667</v>
      </c>
      <c r="G162" s="61">
        <v>45161</v>
      </c>
      <c r="H162" s="40">
        <v>768000</v>
      </c>
      <c r="I162" s="57">
        <f t="shared" si="36"/>
        <v>75100</v>
      </c>
      <c r="J162" s="58">
        <f t="shared" si="37"/>
        <v>5640010000</v>
      </c>
      <c r="K162" s="57">
        <f t="shared" si="38"/>
        <v>590004.39267015702</v>
      </c>
      <c r="L162" s="57">
        <f t="shared" si="39"/>
        <v>177995.60732984298</v>
      </c>
      <c r="M162" s="58">
        <f t="shared" si="40"/>
        <v>31682436228.719654</v>
      </c>
      <c r="N162" s="59">
        <f t="shared" si="41"/>
        <v>0.11060264720348501</v>
      </c>
      <c r="O162" s="26">
        <f t="shared" si="42"/>
        <v>0.12266576760434</v>
      </c>
      <c r="P162" s="26">
        <f t="shared" si="43"/>
        <v>1.504689054196195E-2</v>
      </c>
    </row>
    <row r="163" spans="1:16" x14ac:dyDescent="0.3">
      <c r="A163" s="23">
        <f t="shared" si="44"/>
        <v>150</v>
      </c>
      <c r="C163" s="40">
        <v>18131634499</v>
      </c>
      <c r="D163" s="23" t="s">
        <v>302</v>
      </c>
      <c r="E163" s="40">
        <v>721500</v>
      </c>
      <c r="F163" s="55">
        <v>0.93108788230739448</v>
      </c>
      <c r="G163" s="62">
        <v>45198</v>
      </c>
      <c r="H163" s="40">
        <v>774900</v>
      </c>
      <c r="I163" s="57">
        <f t="shared" si="36"/>
        <v>53400</v>
      </c>
      <c r="J163" s="58">
        <f t="shared" si="37"/>
        <v>2851560000</v>
      </c>
      <c r="K163" s="57">
        <f t="shared" si="38"/>
        <v>590004.39267015702</v>
      </c>
      <c r="L163" s="57">
        <f t="shared" si="39"/>
        <v>184895.60732984298</v>
      </c>
      <c r="M163" s="58">
        <f t="shared" si="40"/>
        <v>34186385609.871487</v>
      </c>
      <c r="N163" s="59">
        <f t="shared" si="41"/>
        <v>8.1728306562757203E-2</v>
      </c>
      <c r="O163" s="26">
        <f t="shared" si="42"/>
        <v>9.3791426963612201E-2</v>
      </c>
      <c r="P163" s="26">
        <f t="shared" si="43"/>
        <v>8.7968317718706019E-3</v>
      </c>
    </row>
    <row r="164" spans="1:16" x14ac:dyDescent="0.3">
      <c r="A164" s="23">
        <f t="shared" si="44"/>
        <v>151</v>
      </c>
      <c r="C164" s="40">
        <v>18131634408</v>
      </c>
      <c r="D164" s="43" t="s">
        <v>302</v>
      </c>
      <c r="E164" s="40">
        <v>742200</v>
      </c>
      <c r="F164" s="55">
        <v>0.98960000000000004</v>
      </c>
      <c r="G164" s="62">
        <v>44839</v>
      </c>
      <c r="H164" s="40">
        <v>750000</v>
      </c>
      <c r="I164" s="57">
        <f t="shared" si="36"/>
        <v>7800</v>
      </c>
      <c r="J164" s="58">
        <f t="shared" si="37"/>
        <v>60840000</v>
      </c>
      <c r="K164" s="57">
        <f t="shared" si="38"/>
        <v>590004.39267015702</v>
      </c>
      <c r="L164" s="57">
        <f t="shared" si="39"/>
        <v>159995.60732984298</v>
      </c>
      <c r="M164" s="58">
        <f t="shared" si="40"/>
        <v>25598594364.845306</v>
      </c>
      <c r="N164" s="59">
        <f t="shared" si="41"/>
        <v>2.3216188870151644E-2</v>
      </c>
      <c r="O164" s="26">
        <f t="shared" si="42"/>
        <v>3.5279309271006642E-2</v>
      </c>
      <c r="P164" s="26">
        <f t="shared" si="43"/>
        <v>1.2446296626393352E-3</v>
      </c>
    </row>
    <row r="165" spans="1:16" x14ac:dyDescent="0.3">
      <c r="A165" s="23">
        <f t="shared" si="44"/>
        <v>152</v>
      </c>
      <c r="C165" s="40">
        <v>18131532520</v>
      </c>
      <c r="D165" s="43" t="s">
        <v>302</v>
      </c>
      <c r="E165" s="40">
        <v>677100</v>
      </c>
      <c r="F165" s="55">
        <v>0.84637499999999999</v>
      </c>
      <c r="G165" s="62">
        <v>44210</v>
      </c>
      <c r="H165" s="40">
        <v>800000</v>
      </c>
      <c r="I165" s="57">
        <f t="shared" si="36"/>
        <v>122900</v>
      </c>
      <c r="J165" s="58">
        <f t="shared" si="37"/>
        <v>15104410000</v>
      </c>
      <c r="K165" s="57">
        <f t="shared" si="38"/>
        <v>590004.39267015702</v>
      </c>
      <c r="L165" s="57">
        <f t="shared" si="39"/>
        <v>209995.60732984298</v>
      </c>
      <c r="M165" s="58">
        <f t="shared" si="40"/>
        <v>44098155097.829605</v>
      </c>
      <c r="N165" s="59">
        <f t="shared" si="41"/>
        <v>0.16644118887015169</v>
      </c>
      <c r="O165" s="26">
        <f t="shared" si="42"/>
        <v>0.17850430927100669</v>
      </c>
      <c r="P165" s="26">
        <f t="shared" si="43"/>
        <v>3.1863788428319204E-2</v>
      </c>
    </row>
    <row r="166" spans="1:16" x14ac:dyDescent="0.3">
      <c r="A166" s="23">
        <f t="shared" si="44"/>
        <v>153</v>
      </c>
      <c r="C166" s="40">
        <v>18131742421</v>
      </c>
      <c r="D166" s="43" t="s">
        <v>302</v>
      </c>
      <c r="E166" s="40">
        <v>763300</v>
      </c>
      <c r="F166" s="55">
        <v>0.84811111111111115</v>
      </c>
      <c r="G166" s="61">
        <v>44734</v>
      </c>
      <c r="H166" s="40">
        <v>900000</v>
      </c>
      <c r="I166" s="57">
        <f t="shared" si="36"/>
        <v>136700</v>
      </c>
      <c r="J166" s="58">
        <f t="shared" si="37"/>
        <v>18686890000</v>
      </c>
      <c r="K166" s="57">
        <f t="shared" si="38"/>
        <v>590004.39267015702</v>
      </c>
      <c r="L166" s="57">
        <f t="shared" si="39"/>
        <v>309995.60732984298</v>
      </c>
      <c r="M166" s="58">
        <f t="shared" si="40"/>
        <v>96097276563.798203</v>
      </c>
      <c r="N166" s="59">
        <f t="shared" si="41"/>
        <v>0.16470507775904053</v>
      </c>
      <c r="O166" s="26">
        <f t="shared" si="42"/>
        <v>0.17676819815989553</v>
      </c>
      <c r="P166" s="26">
        <f t="shared" si="43"/>
        <v>3.1246995880696092E-2</v>
      </c>
    </row>
    <row r="167" spans="1:16" x14ac:dyDescent="0.3">
      <c r="A167" s="23">
        <f t="shared" si="44"/>
        <v>154</v>
      </c>
      <c r="C167" s="40">
        <v>18131733414</v>
      </c>
      <c r="D167" s="23" t="s">
        <v>302</v>
      </c>
      <c r="E167" s="40">
        <v>795700</v>
      </c>
      <c r="F167" s="55">
        <v>1.1199155524278677</v>
      </c>
      <c r="G167" s="62">
        <v>44302</v>
      </c>
      <c r="H167" s="40">
        <v>710500</v>
      </c>
      <c r="I167" s="57">
        <f t="shared" si="36"/>
        <v>-85200</v>
      </c>
      <c r="J167" s="58">
        <f t="shared" si="37"/>
        <v>7259040000</v>
      </c>
      <c r="K167" s="57">
        <f t="shared" si="38"/>
        <v>590004.39267015702</v>
      </c>
      <c r="L167" s="57">
        <f t="shared" si="39"/>
        <v>120495.60732984298</v>
      </c>
      <c r="M167" s="58">
        <f t="shared" si="40"/>
        <v>14519191385.78771</v>
      </c>
      <c r="N167" s="59">
        <f t="shared" si="41"/>
        <v>0.10709936355771599</v>
      </c>
      <c r="O167" s="26">
        <f t="shared" si="42"/>
        <v>-9.5036243156860989E-2</v>
      </c>
      <c r="P167" s="26">
        <f t="shared" si="43"/>
        <v>9.0318875133700068E-3</v>
      </c>
    </row>
    <row r="168" spans="1:16" x14ac:dyDescent="0.3">
      <c r="A168" s="23">
        <f t="shared" si="44"/>
        <v>155</v>
      </c>
      <c r="C168" s="40">
        <v>18131743451</v>
      </c>
      <c r="D168" s="23" t="s">
        <v>302</v>
      </c>
      <c r="E168" s="40">
        <v>727100</v>
      </c>
      <c r="F168" s="55">
        <v>1.1822764227642277</v>
      </c>
      <c r="G168" s="62">
        <v>44442</v>
      </c>
      <c r="H168" s="40">
        <v>615000</v>
      </c>
      <c r="I168" s="57">
        <f t="shared" si="36"/>
        <v>-112100</v>
      </c>
      <c r="J168" s="58">
        <f t="shared" si="37"/>
        <v>12566410000</v>
      </c>
      <c r="K168" s="57">
        <f t="shared" si="38"/>
        <v>590004.39267015702</v>
      </c>
      <c r="L168" s="57">
        <f t="shared" si="39"/>
        <v>24995.607329842984</v>
      </c>
      <c r="M168" s="58">
        <f t="shared" si="40"/>
        <v>624780385.7877003</v>
      </c>
      <c r="N168" s="59">
        <f t="shared" si="41"/>
        <v>0.16946023389407605</v>
      </c>
      <c r="O168" s="26">
        <f t="shared" si="42"/>
        <v>-0.15739711349322105</v>
      </c>
      <c r="P168" s="26">
        <f t="shared" si="43"/>
        <v>2.477385133599791E-2</v>
      </c>
    </row>
    <row r="169" spans="1:16" x14ac:dyDescent="0.3">
      <c r="A169" s="23">
        <f t="shared" si="44"/>
        <v>156</v>
      </c>
      <c r="C169" s="40">
        <v>18131743454</v>
      </c>
      <c r="D169" s="43" t="s">
        <v>302</v>
      </c>
      <c r="E169" s="40">
        <v>642900</v>
      </c>
      <c r="F169" s="55">
        <v>1.2245714285714286</v>
      </c>
      <c r="G169" s="61">
        <v>44204</v>
      </c>
      <c r="H169" s="40">
        <v>525000</v>
      </c>
      <c r="I169" s="57">
        <f t="shared" si="36"/>
        <v>-117900</v>
      </c>
      <c r="J169" s="58">
        <f t="shared" si="37"/>
        <v>13900410000</v>
      </c>
      <c r="K169" s="57">
        <f t="shared" si="38"/>
        <v>590004.39267015702</v>
      </c>
      <c r="L169" s="57">
        <f t="shared" si="39"/>
        <v>-65004.392670157016</v>
      </c>
      <c r="M169" s="58">
        <f t="shared" si="40"/>
        <v>4225571066.4159632</v>
      </c>
      <c r="N169" s="59">
        <f t="shared" si="41"/>
        <v>0.21175523970127696</v>
      </c>
      <c r="O169" s="26">
        <f t="shared" si="42"/>
        <v>-0.19969211930042197</v>
      </c>
      <c r="P169" s="26">
        <f t="shared" si="43"/>
        <v>3.9876942510693958E-2</v>
      </c>
    </row>
    <row r="170" spans="1:16" x14ac:dyDescent="0.3">
      <c r="A170" s="23">
        <f t="shared" si="44"/>
        <v>157</v>
      </c>
      <c r="C170" s="40">
        <v>18131743483</v>
      </c>
      <c r="D170" s="43" t="s">
        <v>302</v>
      </c>
      <c r="E170" s="40">
        <v>667500</v>
      </c>
      <c r="F170" s="55">
        <v>0.95357142857142863</v>
      </c>
      <c r="G170" s="62">
        <v>45013</v>
      </c>
      <c r="H170" s="40">
        <v>700000</v>
      </c>
      <c r="I170" s="57">
        <f t="shared" si="36"/>
        <v>32500</v>
      </c>
      <c r="J170" s="58">
        <f t="shared" si="37"/>
        <v>1056250000</v>
      </c>
      <c r="K170" s="57">
        <f t="shared" si="38"/>
        <v>590004.39267015702</v>
      </c>
      <c r="L170" s="57">
        <f t="shared" si="39"/>
        <v>109995.60732984298</v>
      </c>
      <c r="M170" s="58">
        <f t="shared" si="40"/>
        <v>12099033631.861008</v>
      </c>
      <c r="N170" s="59">
        <f t="shared" si="41"/>
        <v>5.9244760298723054E-2</v>
      </c>
      <c r="O170" s="26">
        <f t="shared" si="42"/>
        <v>7.1307880699578052E-2</v>
      </c>
      <c r="P170" s="26">
        <f t="shared" si="43"/>
        <v>5.084813849865256E-3</v>
      </c>
    </row>
    <row r="171" spans="1:16" s="63" customFormat="1" x14ac:dyDescent="0.3">
      <c r="A171" s="63">
        <f t="shared" si="44"/>
        <v>158</v>
      </c>
      <c r="C171" s="63">
        <v>18131743481</v>
      </c>
      <c r="D171" s="44" t="s">
        <v>302</v>
      </c>
      <c r="E171" s="63">
        <v>730000</v>
      </c>
      <c r="F171" s="64">
        <v>1.028169014084507</v>
      </c>
      <c r="G171" s="65">
        <v>44763</v>
      </c>
      <c r="H171" s="63">
        <v>710000</v>
      </c>
      <c r="I171" s="66">
        <f t="shared" si="36"/>
        <v>-20000</v>
      </c>
      <c r="J171" s="67">
        <f t="shared" si="37"/>
        <v>400000000</v>
      </c>
      <c r="K171" s="66">
        <f t="shared" si="38"/>
        <v>590004.39267015702</v>
      </c>
      <c r="L171" s="66">
        <f t="shared" si="39"/>
        <v>119995.60732984298</v>
      </c>
      <c r="M171" s="67">
        <f t="shared" si="40"/>
        <v>14398945778.457867</v>
      </c>
      <c r="N171" s="68">
        <f t="shared" si="41"/>
        <v>1.5352825214355326E-2</v>
      </c>
      <c r="O171" s="69">
        <f t="shared" si="42"/>
        <v>-3.2897048135003271E-3</v>
      </c>
      <c r="P171" s="69">
        <f t="shared" si="43"/>
        <v>1.0822157759967222E-5</v>
      </c>
    </row>
    <row r="172" spans="1:16" s="63" customFormat="1" x14ac:dyDescent="0.3">
      <c r="A172" s="63">
        <f t="shared" si="44"/>
        <v>159</v>
      </c>
      <c r="C172" s="63">
        <v>18131743496</v>
      </c>
      <c r="D172" s="44" t="s">
        <v>302</v>
      </c>
      <c r="E172" s="63">
        <v>639700</v>
      </c>
      <c r="F172" s="64">
        <v>1.1086655112651647</v>
      </c>
      <c r="G172" s="65">
        <v>44256</v>
      </c>
      <c r="H172" s="63">
        <v>577000</v>
      </c>
      <c r="I172" s="66">
        <f t="shared" si="36"/>
        <v>-62700</v>
      </c>
      <c r="J172" s="67">
        <f t="shared" si="37"/>
        <v>3931290000</v>
      </c>
      <c r="K172" s="66">
        <f t="shared" si="38"/>
        <v>590004.39267015702</v>
      </c>
      <c r="L172" s="66">
        <f t="shared" si="39"/>
        <v>-13004.392670157016</v>
      </c>
      <c r="M172" s="67">
        <f t="shared" si="40"/>
        <v>169114228.71963352</v>
      </c>
      <c r="N172" s="68">
        <f t="shared" si="41"/>
        <v>9.5849322395012981E-2</v>
      </c>
      <c r="O172" s="69">
        <f t="shared" si="42"/>
        <v>-8.3786201994157983E-2</v>
      </c>
      <c r="P172" s="69">
        <f t="shared" si="43"/>
        <v>7.0201276446058428E-3</v>
      </c>
    </row>
    <row r="173" spans="1:16" s="63" customFormat="1" x14ac:dyDescent="0.3">
      <c r="A173" s="63">
        <f t="shared" si="44"/>
        <v>160</v>
      </c>
      <c r="C173" s="63">
        <v>18131743460</v>
      </c>
      <c r="D173" s="44" t="s">
        <v>302</v>
      </c>
      <c r="E173" s="63">
        <v>690600</v>
      </c>
      <c r="F173" s="64">
        <v>1.160672268907563</v>
      </c>
      <c r="G173" s="65">
        <v>44350</v>
      </c>
      <c r="H173" s="63">
        <v>595000</v>
      </c>
      <c r="I173" s="66">
        <f t="shared" si="36"/>
        <v>-95600</v>
      </c>
      <c r="J173" s="67">
        <f t="shared" si="37"/>
        <v>9139360000</v>
      </c>
      <c r="K173" s="66">
        <f t="shared" si="38"/>
        <v>590004.39267015702</v>
      </c>
      <c r="L173" s="66">
        <f t="shared" si="39"/>
        <v>4995.6073298429837</v>
      </c>
      <c r="M173" s="67">
        <f t="shared" si="40"/>
        <v>24956092.593980946</v>
      </c>
      <c r="N173" s="68">
        <f t="shared" si="41"/>
        <v>0.14785608003741135</v>
      </c>
      <c r="O173" s="69">
        <f t="shared" si="42"/>
        <v>-0.13579295963655635</v>
      </c>
      <c r="P173" s="69">
        <f t="shared" si="43"/>
        <v>1.8439727886855422E-2</v>
      </c>
    </row>
    <row r="174" spans="1:16" s="63" customFormat="1" x14ac:dyDescent="0.3">
      <c r="A174" s="63">
        <f t="shared" si="44"/>
        <v>161</v>
      </c>
      <c r="C174" s="63">
        <v>18131743461</v>
      </c>
      <c r="D174" s="44" t="s">
        <v>302</v>
      </c>
      <c r="E174" s="63">
        <v>739100</v>
      </c>
      <c r="F174" s="64">
        <v>1.1548437499999999</v>
      </c>
      <c r="G174" s="65">
        <v>44649</v>
      </c>
      <c r="H174" s="63">
        <v>640000</v>
      </c>
      <c r="I174" s="66">
        <f t="shared" ref="I174:I205" si="45">+H174-E174</f>
        <v>-99100</v>
      </c>
      <c r="J174" s="67">
        <f t="shared" ref="J174:J205" si="46">+I174^2</f>
        <v>9820810000</v>
      </c>
      <c r="K174" s="66">
        <f t="shared" ref="K174:K204" si="47">AVERAGE($H$14:$H$1419)</f>
        <v>590004.39267015702</v>
      </c>
      <c r="L174" s="66">
        <f t="shared" ref="L174:L205" si="48">+H174-K174</f>
        <v>49995.607329842984</v>
      </c>
      <c r="M174" s="67">
        <f t="shared" ref="M174:M205" si="49">+L174^2</f>
        <v>2499560752.2798495</v>
      </c>
      <c r="N174" s="68">
        <f t="shared" ref="N174:N204" si="50">ABS(+$F$2-F174)</f>
        <v>0.14202756112984827</v>
      </c>
      <c r="O174" s="69">
        <f t="shared" ref="O174:O204" si="51">+$F$3-F174</f>
        <v>-0.12996444072899327</v>
      </c>
      <c r="P174" s="69">
        <f t="shared" ref="P174:P205" si="52">+O174*O174</f>
        <v>1.6890755854000003E-2</v>
      </c>
    </row>
    <row r="175" spans="1:16" s="63" customFormat="1" x14ac:dyDescent="0.3">
      <c r="A175" s="63">
        <f t="shared" ref="A175:A204" si="53">+A174+1</f>
        <v>162</v>
      </c>
      <c r="C175" s="63">
        <v>18131734437</v>
      </c>
      <c r="D175" s="44" t="s">
        <v>302</v>
      </c>
      <c r="E175" s="63">
        <v>782400</v>
      </c>
      <c r="F175" s="64">
        <v>0.93700598802395207</v>
      </c>
      <c r="G175" s="65">
        <v>44733</v>
      </c>
      <c r="H175" s="63">
        <v>835000</v>
      </c>
      <c r="I175" s="66">
        <f t="shared" si="45"/>
        <v>52600</v>
      </c>
      <c r="J175" s="67">
        <f t="shared" si="46"/>
        <v>2766760000</v>
      </c>
      <c r="K175" s="66">
        <f t="shared" si="47"/>
        <v>590004.39267015702</v>
      </c>
      <c r="L175" s="66">
        <f t="shared" si="48"/>
        <v>244995.60732984298</v>
      </c>
      <c r="M175" s="67">
        <f t="shared" si="49"/>
        <v>60022847610.91861</v>
      </c>
      <c r="N175" s="68">
        <f t="shared" si="50"/>
        <v>7.5810200846199605E-2</v>
      </c>
      <c r="O175" s="69">
        <f t="shared" si="51"/>
        <v>8.7873321247054603E-2</v>
      </c>
      <c r="P175" s="69">
        <f t="shared" si="52"/>
        <v>7.7217205869880576E-3</v>
      </c>
    </row>
    <row r="176" spans="1:16" s="63" customFormat="1" x14ac:dyDescent="0.3">
      <c r="A176" s="63">
        <f t="shared" si="53"/>
        <v>163</v>
      </c>
      <c r="C176" s="63">
        <v>18131734449</v>
      </c>
      <c r="D176" s="44" t="s">
        <v>302</v>
      </c>
      <c r="E176" s="63">
        <v>789300</v>
      </c>
      <c r="F176" s="64">
        <v>1.0119230769230769</v>
      </c>
      <c r="G176" s="65">
        <v>44393</v>
      </c>
      <c r="H176" s="63">
        <v>780000</v>
      </c>
      <c r="I176" s="66">
        <f t="shared" si="45"/>
        <v>-9300</v>
      </c>
      <c r="J176" s="67">
        <f t="shared" si="46"/>
        <v>86490000</v>
      </c>
      <c r="K176" s="66">
        <f t="shared" si="47"/>
        <v>590004.39267015702</v>
      </c>
      <c r="L176" s="66">
        <f t="shared" si="48"/>
        <v>189995.60732984298</v>
      </c>
      <c r="M176" s="67">
        <f t="shared" si="49"/>
        <v>36098330804.635887</v>
      </c>
      <c r="N176" s="68">
        <f t="shared" si="50"/>
        <v>8.9311194707475394E-4</v>
      </c>
      <c r="O176" s="69">
        <f t="shared" si="51"/>
        <v>1.2956232347929753E-2</v>
      </c>
      <c r="P176" s="69">
        <f t="shared" si="52"/>
        <v>1.678639566535413E-4</v>
      </c>
    </row>
    <row r="177" spans="1:16" s="63" customFormat="1" x14ac:dyDescent="0.3">
      <c r="A177" s="63">
        <f t="shared" si="53"/>
        <v>164</v>
      </c>
      <c r="C177" s="63">
        <v>18131743479</v>
      </c>
      <c r="D177" s="44" t="s">
        <v>302</v>
      </c>
      <c r="E177" s="63">
        <v>640600</v>
      </c>
      <c r="F177" s="64">
        <v>1.0168253968253969</v>
      </c>
      <c r="G177" s="65">
        <v>44295</v>
      </c>
      <c r="H177" s="63">
        <v>630000</v>
      </c>
      <c r="I177" s="66">
        <f t="shared" si="45"/>
        <v>-10600</v>
      </c>
      <c r="J177" s="67">
        <f t="shared" si="46"/>
        <v>112360000</v>
      </c>
      <c r="K177" s="66">
        <f t="shared" si="47"/>
        <v>590004.39267015702</v>
      </c>
      <c r="L177" s="66">
        <f t="shared" si="48"/>
        <v>39995.607329842984</v>
      </c>
      <c r="M177" s="67">
        <f t="shared" si="49"/>
        <v>1599648605.6829898</v>
      </c>
      <c r="N177" s="68">
        <f t="shared" si="50"/>
        <v>4.0092079552451754E-3</v>
      </c>
      <c r="O177" s="69">
        <f t="shared" si="51"/>
        <v>8.0539124456098232E-3</v>
      </c>
      <c r="P177" s="69">
        <f t="shared" si="52"/>
        <v>6.4865505681548809E-5</v>
      </c>
    </row>
    <row r="178" spans="1:16" s="63" customFormat="1" x14ac:dyDescent="0.3">
      <c r="A178" s="63">
        <f t="shared" si="53"/>
        <v>165</v>
      </c>
      <c r="C178" s="63">
        <v>18131531427</v>
      </c>
      <c r="D178" s="44" t="s">
        <v>302</v>
      </c>
      <c r="E178" s="63">
        <v>517400</v>
      </c>
      <c r="F178" s="64">
        <v>0.79722650231124803</v>
      </c>
      <c r="G178" s="65">
        <v>45097</v>
      </c>
      <c r="H178" s="63">
        <v>649000</v>
      </c>
      <c r="I178" s="66">
        <f t="shared" si="45"/>
        <v>131600</v>
      </c>
      <c r="J178" s="67">
        <f t="shared" si="46"/>
        <v>17318560000</v>
      </c>
      <c r="K178" s="66">
        <f t="shared" si="47"/>
        <v>590004.39267015702</v>
      </c>
      <c r="L178" s="66">
        <f t="shared" si="48"/>
        <v>58995.607329842984</v>
      </c>
      <c r="M178" s="67">
        <f t="shared" si="49"/>
        <v>3480481684.2170234</v>
      </c>
      <c r="N178" s="68">
        <f t="shared" si="50"/>
        <v>0.21558968655890365</v>
      </c>
      <c r="O178" s="69">
        <f t="shared" si="51"/>
        <v>0.22765280695975865</v>
      </c>
      <c r="P178" s="69">
        <f t="shared" si="52"/>
        <v>5.1825800516657132E-2</v>
      </c>
    </row>
    <row r="179" spans="1:16" s="63" customFormat="1" x14ac:dyDescent="0.3">
      <c r="A179" s="63">
        <f t="shared" si="53"/>
        <v>166</v>
      </c>
      <c r="C179" s="63">
        <v>18131743455</v>
      </c>
      <c r="D179" s="44" t="s">
        <v>302</v>
      </c>
      <c r="E179" s="63">
        <v>690400</v>
      </c>
      <c r="F179" s="64">
        <v>1.1373970345963755</v>
      </c>
      <c r="G179" s="65">
        <v>44678</v>
      </c>
      <c r="H179" s="63">
        <v>607000</v>
      </c>
      <c r="I179" s="66">
        <f t="shared" si="45"/>
        <v>-83400</v>
      </c>
      <c r="J179" s="67">
        <f t="shared" si="46"/>
        <v>6955560000</v>
      </c>
      <c r="K179" s="66">
        <f t="shared" si="47"/>
        <v>590004.39267015702</v>
      </c>
      <c r="L179" s="66">
        <f t="shared" si="48"/>
        <v>16995.607329842984</v>
      </c>
      <c r="M179" s="67">
        <f t="shared" si="49"/>
        <v>288850668.51021254</v>
      </c>
      <c r="N179" s="68">
        <f t="shared" si="50"/>
        <v>0.12458084572622385</v>
      </c>
      <c r="O179" s="69">
        <f t="shared" si="51"/>
        <v>-0.11251772532536886</v>
      </c>
      <c r="P179" s="69">
        <f t="shared" si="52"/>
        <v>1.2660238512395151E-2</v>
      </c>
    </row>
    <row r="180" spans="1:16" s="63" customFormat="1" x14ac:dyDescent="0.3">
      <c r="A180" s="63">
        <f t="shared" si="53"/>
        <v>167</v>
      </c>
      <c r="C180" s="63">
        <v>18131531446</v>
      </c>
      <c r="D180" s="44" t="s">
        <v>302</v>
      </c>
      <c r="E180" s="63">
        <v>502500</v>
      </c>
      <c r="F180" s="64">
        <v>0.74103786592892229</v>
      </c>
      <c r="G180" s="65">
        <v>44425</v>
      </c>
      <c r="H180" s="63">
        <v>678103</v>
      </c>
      <c r="I180" s="66">
        <f t="shared" si="45"/>
        <v>175603</v>
      </c>
      <c r="J180" s="67">
        <f t="shared" si="46"/>
        <v>30836413609</v>
      </c>
      <c r="K180" s="66">
        <f t="shared" si="47"/>
        <v>590004.39267015702</v>
      </c>
      <c r="L180" s="66">
        <f t="shared" si="48"/>
        <v>88098.607329842984</v>
      </c>
      <c r="M180" s="67">
        <f t="shared" si="49"/>
        <v>7761364613.4578638</v>
      </c>
      <c r="N180" s="68">
        <f t="shared" si="50"/>
        <v>0.27177832294122939</v>
      </c>
      <c r="O180" s="69">
        <f t="shared" si="51"/>
        <v>0.28384144334208439</v>
      </c>
      <c r="P180" s="69">
        <f t="shared" si="52"/>
        <v>8.05659649585177E-2</v>
      </c>
    </row>
    <row r="181" spans="1:16" s="63" customFormat="1" x14ac:dyDescent="0.3">
      <c r="A181" s="63">
        <f t="shared" si="53"/>
        <v>168</v>
      </c>
      <c r="C181" s="63">
        <v>18131742411</v>
      </c>
      <c r="D181" s="44" t="s">
        <v>302</v>
      </c>
      <c r="E181" s="63">
        <v>954700</v>
      </c>
      <c r="F181" s="64">
        <v>0.57685800604229609</v>
      </c>
      <c r="G181" s="65">
        <v>44502</v>
      </c>
      <c r="H181" s="63">
        <v>1655000</v>
      </c>
      <c r="I181" s="66">
        <f t="shared" si="45"/>
        <v>700300</v>
      </c>
      <c r="J181" s="67">
        <f t="shared" si="46"/>
        <v>490420090000</v>
      </c>
      <c r="K181" s="66">
        <f t="shared" si="47"/>
        <v>590004.39267015702</v>
      </c>
      <c r="L181" s="66">
        <f t="shared" si="48"/>
        <v>1064995.6073298431</v>
      </c>
      <c r="M181" s="67">
        <f t="shared" si="49"/>
        <v>1134215643631.8613</v>
      </c>
      <c r="N181" s="68">
        <f t="shared" si="50"/>
        <v>0.43595818282785559</v>
      </c>
      <c r="O181" s="69">
        <f t="shared" si="51"/>
        <v>0.44802130322871059</v>
      </c>
      <c r="P181" s="69">
        <f t="shared" si="52"/>
        <v>0.20072308814675224</v>
      </c>
    </row>
    <row r="182" spans="1:16" s="63" customFormat="1" x14ac:dyDescent="0.3">
      <c r="A182" s="63">
        <f t="shared" si="53"/>
        <v>169</v>
      </c>
      <c r="C182" s="63">
        <v>18131742408</v>
      </c>
      <c r="D182" s="44" t="s">
        <v>302</v>
      </c>
      <c r="E182" s="63">
        <v>965500</v>
      </c>
      <c r="F182" s="64">
        <v>0.87772727272727269</v>
      </c>
      <c r="G182" s="65">
        <v>44455</v>
      </c>
      <c r="H182" s="63">
        <v>1100000</v>
      </c>
      <c r="I182" s="66">
        <f t="shared" si="45"/>
        <v>134500</v>
      </c>
      <c r="J182" s="67">
        <f t="shared" si="46"/>
        <v>18090250000</v>
      </c>
      <c r="K182" s="66">
        <f t="shared" si="47"/>
        <v>590004.39267015702</v>
      </c>
      <c r="L182" s="66">
        <f t="shared" si="48"/>
        <v>509995.60732984298</v>
      </c>
      <c r="M182" s="67">
        <f t="shared" si="49"/>
        <v>260095519495.73538</v>
      </c>
      <c r="N182" s="68">
        <f t="shared" si="50"/>
        <v>0.13508891614287899</v>
      </c>
      <c r="O182" s="69">
        <f t="shared" si="51"/>
        <v>0.14715203654373399</v>
      </c>
      <c r="P182" s="69">
        <f t="shared" si="52"/>
        <v>2.1653721858968421E-2</v>
      </c>
    </row>
    <row r="183" spans="1:16" s="63" customFormat="1" x14ac:dyDescent="0.3">
      <c r="A183" s="63">
        <f t="shared" si="53"/>
        <v>170</v>
      </c>
      <c r="C183" s="63">
        <v>18131524470</v>
      </c>
      <c r="D183" s="44" t="s">
        <v>302</v>
      </c>
      <c r="E183" s="63">
        <v>815800</v>
      </c>
      <c r="F183" s="64">
        <v>1.04993564993565</v>
      </c>
      <c r="G183" s="65">
        <v>44914</v>
      </c>
      <c r="H183" s="63">
        <v>777000</v>
      </c>
      <c r="I183" s="66">
        <f t="shared" si="45"/>
        <v>-38800</v>
      </c>
      <c r="J183" s="67">
        <f t="shared" si="46"/>
        <v>1505440000</v>
      </c>
      <c r="K183" s="66">
        <f t="shared" si="47"/>
        <v>590004.39267015702</v>
      </c>
      <c r="L183" s="66">
        <f t="shared" si="48"/>
        <v>186995.60732984298</v>
      </c>
      <c r="M183" s="67">
        <f t="shared" si="49"/>
        <v>34967357160.65683</v>
      </c>
      <c r="N183" s="68">
        <f t="shared" si="50"/>
        <v>3.7119461065498349E-2</v>
      </c>
      <c r="O183" s="69">
        <f t="shared" si="51"/>
        <v>-2.5056340664643351E-2</v>
      </c>
      <c r="P183" s="69">
        <f t="shared" si="52"/>
        <v>6.2782020750265998E-4</v>
      </c>
    </row>
    <row r="184" spans="1:16" s="63" customFormat="1" x14ac:dyDescent="0.3">
      <c r="A184" s="63">
        <f t="shared" si="53"/>
        <v>171</v>
      </c>
      <c r="C184" s="63">
        <v>18131742437</v>
      </c>
      <c r="D184" s="44" t="s">
        <v>302</v>
      </c>
      <c r="E184" s="63">
        <v>898200</v>
      </c>
      <c r="F184" s="64">
        <v>0.94547368421052636</v>
      </c>
      <c r="G184" s="65">
        <v>44459</v>
      </c>
      <c r="H184" s="63">
        <v>950000</v>
      </c>
      <c r="I184" s="66">
        <f t="shared" si="45"/>
        <v>51800</v>
      </c>
      <c r="J184" s="67">
        <f t="shared" si="46"/>
        <v>2683240000</v>
      </c>
      <c r="K184" s="66">
        <f t="shared" si="47"/>
        <v>590004.39267015702</v>
      </c>
      <c r="L184" s="66">
        <f t="shared" si="48"/>
        <v>359995.60732984298</v>
      </c>
      <c r="M184" s="67">
        <f t="shared" si="49"/>
        <v>129596837296.7825</v>
      </c>
      <c r="N184" s="68">
        <f t="shared" si="50"/>
        <v>6.7342504659625324E-2</v>
      </c>
      <c r="O184" s="69">
        <f t="shared" si="51"/>
        <v>7.9405625060480323E-2</v>
      </c>
      <c r="P184" s="69">
        <f t="shared" si="52"/>
        <v>6.3052532912455809E-3</v>
      </c>
    </row>
    <row r="185" spans="1:16" s="63" customFormat="1" x14ac:dyDescent="0.3">
      <c r="A185" s="63">
        <f t="shared" si="53"/>
        <v>172</v>
      </c>
      <c r="C185" s="63">
        <v>18131741420</v>
      </c>
      <c r="D185" s="44" t="s">
        <v>302</v>
      </c>
      <c r="E185" s="63">
        <v>833400</v>
      </c>
      <c r="F185" s="64">
        <v>1.1231805929919136</v>
      </c>
      <c r="G185" s="65">
        <v>44229</v>
      </c>
      <c r="H185" s="63">
        <v>742000</v>
      </c>
      <c r="I185" s="66">
        <f t="shared" si="45"/>
        <v>-91400</v>
      </c>
      <c r="J185" s="67">
        <f t="shared" si="46"/>
        <v>8353960000</v>
      </c>
      <c r="K185" s="66">
        <f t="shared" si="47"/>
        <v>590004.39267015702</v>
      </c>
      <c r="L185" s="66">
        <f t="shared" si="48"/>
        <v>151995.60732984298</v>
      </c>
      <c r="M185" s="67">
        <f t="shared" si="49"/>
        <v>23102664647.567818</v>
      </c>
      <c r="N185" s="68">
        <f t="shared" si="50"/>
        <v>0.11036440412176196</v>
      </c>
      <c r="O185" s="69">
        <f t="shared" si="51"/>
        <v>-9.8301283720906962E-2</v>
      </c>
      <c r="P185" s="69">
        <f t="shared" si="52"/>
        <v>9.6631423811782483E-3</v>
      </c>
    </row>
    <row r="186" spans="1:16" s="63" customFormat="1" x14ac:dyDescent="0.3">
      <c r="A186" s="63">
        <f t="shared" si="53"/>
        <v>173</v>
      </c>
      <c r="C186" s="63">
        <v>18131634412</v>
      </c>
      <c r="D186" s="44" t="s">
        <v>302</v>
      </c>
      <c r="E186" s="63">
        <v>1025300</v>
      </c>
      <c r="F186" s="64">
        <v>0.90334801762114536</v>
      </c>
      <c r="G186" s="65">
        <v>44351</v>
      </c>
      <c r="H186" s="63">
        <v>1135000</v>
      </c>
      <c r="I186" s="66">
        <f t="shared" si="45"/>
        <v>109700</v>
      </c>
      <c r="J186" s="67">
        <f t="shared" si="46"/>
        <v>12034090000</v>
      </c>
      <c r="K186" s="66">
        <f t="shared" si="47"/>
        <v>590004.39267015702</v>
      </c>
      <c r="L186" s="66">
        <f t="shared" si="48"/>
        <v>544995.60732984298</v>
      </c>
      <c r="M186" s="67">
        <f t="shared" si="49"/>
        <v>297020212008.8244</v>
      </c>
      <c r="N186" s="68">
        <f t="shared" si="50"/>
        <v>0.10946817124900632</v>
      </c>
      <c r="O186" s="69">
        <f t="shared" si="51"/>
        <v>0.12153129164986132</v>
      </c>
      <c r="P186" s="69">
        <f t="shared" si="52"/>
        <v>1.4769854850083652E-2</v>
      </c>
    </row>
    <row r="187" spans="1:16" s="63" customFormat="1" x14ac:dyDescent="0.3">
      <c r="A187" s="63">
        <f t="shared" si="53"/>
        <v>174</v>
      </c>
      <c r="C187" s="63">
        <v>18131642443</v>
      </c>
      <c r="D187" s="44" t="s">
        <v>302</v>
      </c>
      <c r="E187" s="63">
        <v>773500</v>
      </c>
      <c r="F187" s="64">
        <v>1.1210144927536232</v>
      </c>
      <c r="G187" s="65">
        <v>44370</v>
      </c>
      <c r="H187" s="63">
        <v>690000</v>
      </c>
      <c r="I187" s="66">
        <f t="shared" si="45"/>
        <v>-83500</v>
      </c>
      <c r="J187" s="67">
        <f t="shared" si="46"/>
        <v>6972250000</v>
      </c>
      <c r="K187" s="66">
        <f t="shared" si="47"/>
        <v>590004.39267015702</v>
      </c>
      <c r="L187" s="66">
        <f t="shared" si="48"/>
        <v>99995.607329842984</v>
      </c>
      <c r="M187" s="67">
        <f t="shared" si="49"/>
        <v>9999121485.2641487</v>
      </c>
      <c r="N187" s="68">
        <f t="shared" si="50"/>
        <v>0.10819830388347151</v>
      </c>
      <c r="O187" s="69">
        <f t="shared" si="51"/>
        <v>-9.6135183482616515E-2</v>
      </c>
      <c r="P187" s="69">
        <f t="shared" si="52"/>
        <v>9.2419735032363438E-3</v>
      </c>
    </row>
    <row r="188" spans="1:16" s="63" customFormat="1" x14ac:dyDescent="0.3">
      <c r="A188" s="63">
        <f t="shared" si="53"/>
        <v>175</v>
      </c>
      <c r="C188" s="63">
        <v>18131743470</v>
      </c>
      <c r="D188" s="44" t="s">
        <v>302</v>
      </c>
      <c r="E188" s="63">
        <v>774000</v>
      </c>
      <c r="F188" s="64">
        <v>1.1907692307692308</v>
      </c>
      <c r="G188" s="65">
        <v>44461</v>
      </c>
      <c r="H188" s="63">
        <v>650000</v>
      </c>
      <c r="I188" s="66">
        <f t="shared" si="45"/>
        <v>-124000</v>
      </c>
      <c r="J188" s="67">
        <f t="shared" si="46"/>
        <v>15376000000</v>
      </c>
      <c r="K188" s="66">
        <f t="shared" si="47"/>
        <v>590004.39267015702</v>
      </c>
      <c r="L188" s="66">
        <f t="shared" si="48"/>
        <v>59995.607329842984</v>
      </c>
      <c r="M188" s="67">
        <f t="shared" si="49"/>
        <v>3599472898.876709</v>
      </c>
      <c r="N188" s="68">
        <f t="shared" si="50"/>
        <v>0.17795304189907912</v>
      </c>
      <c r="O188" s="69">
        <f t="shared" si="51"/>
        <v>-0.16588992149822412</v>
      </c>
      <c r="P188" s="69">
        <f t="shared" si="52"/>
        <v>2.7519466054686963E-2</v>
      </c>
    </row>
    <row r="189" spans="1:16" x14ac:dyDescent="0.3">
      <c r="A189" s="63">
        <f t="shared" si="53"/>
        <v>176</v>
      </c>
      <c r="C189" s="23">
        <v>18131923405</v>
      </c>
      <c r="D189" s="23" t="s">
        <v>302</v>
      </c>
      <c r="E189" s="23">
        <v>778300</v>
      </c>
      <c r="F189" s="23">
        <v>1.0735172413793104</v>
      </c>
      <c r="G189" s="23">
        <v>44733</v>
      </c>
      <c r="H189" s="23">
        <v>725000</v>
      </c>
      <c r="I189" s="66">
        <f t="shared" si="45"/>
        <v>-53300</v>
      </c>
      <c r="J189" s="67">
        <f t="shared" si="46"/>
        <v>2840890000</v>
      </c>
      <c r="K189" s="66">
        <f t="shared" si="47"/>
        <v>590004.39267015702</v>
      </c>
      <c r="L189" s="66">
        <f t="shared" si="48"/>
        <v>134995.60732984298</v>
      </c>
      <c r="M189" s="67">
        <f t="shared" si="49"/>
        <v>18223813998.353157</v>
      </c>
      <c r="N189" s="68">
        <f t="shared" si="50"/>
        <v>6.0701052509158693E-2</v>
      </c>
      <c r="O189" s="69">
        <f t="shared" si="51"/>
        <v>-4.8637932108303694E-2</v>
      </c>
      <c r="P189" s="69">
        <f t="shared" si="52"/>
        <v>2.3656484397719594E-3</v>
      </c>
    </row>
    <row r="190" spans="1:16" x14ac:dyDescent="0.3">
      <c r="A190" s="63">
        <f t="shared" si="53"/>
        <v>177</v>
      </c>
      <c r="C190" s="23">
        <v>18131923409</v>
      </c>
      <c r="D190" s="23" t="s">
        <v>302</v>
      </c>
      <c r="E190" s="23">
        <v>999000</v>
      </c>
      <c r="F190" s="23">
        <v>0.999</v>
      </c>
      <c r="G190" s="23">
        <v>44762</v>
      </c>
      <c r="H190" s="23">
        <v>1000000</v>
      </c>
      <c r="I190" s="66">
        <f t="shared" si="45"/>
        <v>1000</v>
      </c>
      <c r="J190" s="67">
        <f t="shared" si="46"/>
        <v>1000000</v>
      </c>
      <c r="K190" s="66">
        <f t="shared" si="47"/>
        <v>590004.39267015702</v>
      </c>
      <c r="L190" s="66">
        <f t="shared" si="48"/>
        <v>409995.60732984298</v>
      </c>
      <c r="M190" s="67">
        <f t="shared" si="49"/>
        <v>168096398029.76678</v>
      </c>
      <c r="N190" s="68">
        <f t="shared" si="50"/>
        <v>1.381618887015168E-2</v>
      </c>
      <c r="O190" s="69">
        <f t="shared" si="51"/>
        <v>2.5879309271006679E-2</v>
      </c>
      <c r="P190" s="69">
        <f t="shared" si="52"/>
        <v>6.6973864834441225E-4</v>
      </c>
    </row>
    <row r="191" spans="1:16" x14ac:dyDescent="0.3">
      <c r="A191" s="63">
        <f t="shared" si="53"/>
        <v>178</v>
      </c>
      <c r="C191" s="23">
        <v>17132413434</v>
      </c>
      <c r="D191" s="23" t="s">
        <v>302</v>
      </c>
      <c r="E191" s="23">
        <v>762500</v>
      </c>
      <c r="F191" s="23">
        <v>0.94720496894409933</v>
      </c>
      <c r="G191" s="23">
        <v>44753</v>
      </c>
      <c r="H191" s="23">
        <v>805000</v>
      </c>
      <c r="I191" s="66">
        <f t="shared" si="45"/>
        <v>42500</v>
      </c>
      <c r="J191" s="67">
        <f t="shared" si="46"/>
        <v>1806250000</v>
      </c>
      <c r="K191" s="66">
        <f t="shared" si="47"/>
        <v>590004.39267015702</v>
      </c>
      <c r="L191" s="66">
        <f t="shared" si="48"/>
        <v>214995.60732984298</v>
      </c>
      <c r="M191" s="67">
        <f t="shared" si="49"/>
        <v>46223111171.128036</v>
      </c>
      <c r="N191" s="68">
        <f t="shared" si="50"/>
        <v>6.5611219926052344E-2</v>
      </c>
      <c r="O191" s="69">
        <f t="shared" si="51"/>
        <v>7.7674340326907343E-2</v>
      </c>
      <c r="P191" s="69">
        <f t="shared" si="52"/>
        <v>6.0333031452202241E-3</v>
      </c>
    </row>
    <row r="192" spans="1:16" x14ac:dyDescent="0.3">
      <c r="A192" s="63">
        <f t="shared" si="53"/>
        <v>179</v>
      </c>
      <c r="C192" s="23">
        <v>18131634515</v>
      </c>
      <c r="D192" s="23" t="s">
        <v>302</v>
      </c>
      <c r="E192" s="23">
        <v>773900</v>
      </c>
      <c r="F192" s="23">
        <v>1.0318666666666667</v>
      </c>
      <c r="G192" s="23">
        <v>44257</v>
      </c>
      <c r="H192" s="23">
        <v>750000</v>
      </c>
      <c r="I192" s="66">
        <f t="shared" si="45"/>
        <v>-23900</v>
      </c>
      <c r="J192" s="67">
        <f t="shared" si="46"/>
        <v>571210000</v>
      </c>
      <c r="K192" s="66">
        <f t="shared" si="47"/>
        <v>590004.39267015702</v>
      </c>
      <c r="L192" s="66">
        <f t="shared" si="48"/>
        <v>159995.60732984298</v>
      </c>
      <c r="M192" s="67">
        <f t="shared" si="49"/>
        <v>25598594364.845306</v>
      </c>
      <c r="N192" s="68">
        <f t="shared" si="50"/>
        <v>1.9050477796515031E-2</v>
      </c>
      <c r="O192" s="69">
        <f t="shared" si="51"/>
        <v>-6.9873573956600321E-3</v>
      </c>
      <c r="P192" s="69">
        <f t="shared" si="52"/>
        <v>4.8823163374684945E-5</v>
      </c>
    </row>
    <row r="193" spans="1:16" x14ac:dyDescent="0.3">
      <c r="A193" s="63">
        <f t="shared" si="53"/>
        <v>180</v>
      </c>
      <c r="C193" s="23">
        <v>18131531430</v>
      </c>
      <c r="D193" s="23" t="s">
        <v>302</v>
      </c>
      <c r="E193" s="23">
        <v>594900</v>
      </c>
      <c r="F193" s="23">
        <v>0.9915826318859905</v>
      </c>
      <c r="G193" s="23">
        <v>44846</v>
      </c>
      <c r="H193" s="23">
        <v>599950</v>
      </c>
      <c r="I193" s="66">
        <f t="shared" si="45"/>
        <v>5050</v>
      </c>
      <c r="J193" s="67">
        <f t="shared" si="46"/>
        <v>25502500</v>
      </c>
      <c r="K193" s="66">
        <f t="shared" si="47"/>
        <v>590004.39267015702</v>
      </c>
      <c r="L193" s="66">
        <f t="shared" si="48"/>
        <v>9945.6073298429837</v>
      </c>
      <c r="M193" s="67">
        <f t="shared" si="49"/>
        <v>98915105.159426481</v>
      </c>
      <c r="N193" s="68">
        <f t="shared" si="50"/>
        <v>2.1233556984161184E-2</v>
      </c>
      <c r="O193" s="69">
        <f t="shared" si="51"/>
        <v>3.3296677385016182E-2</v>
      </c>
      <c r="P193" s="69">
        <f t="shared" si="52"/>
        <v>1.1086687248818481E-3</v>
      </c>
    </row>
    <row r="194" spans="1:16" x14ac:dyDescent="0.3">
      <c r="A194" s="63">
        <f t="shared" si="53"/>
        <v>181</v>
      </c>
      <c r="C194" s="23">
        <v>18131531419</v>
      </c>
      <c r="D194" s="23" t="s">
        <v>302</v>
      </c>
      <c r="E194" s="23">
        <v>632600</v>
      </c>
      <c r="F194" s="23">
        <v>0.90500715307582258</v>
      </c>
      <c r="G194" s="23">
        <v>44547</v>
      </c>
      <c r="H194" s="23">
        <v>699000</v>
      </c>
      <c r="I194" s="66">
        <f t="shared" si="45"/>
        <v>66400</v>
      </c>
      <c r="J194" s="67">
        <f t="shared" si="46"/>
        <v>4408960000</v>
      </c>
      <c r="K194" s="66">
        <f t="shared" si="47"/>
        <v>590004.39267015702</v>
      </c>
      <c r="L194" s="66">
        <f t="shared" si="48"/>
        <v>108995.60732984298</v>
      </c>
      <c r="M194" s="67">
        <f t="shared" si="49"/>
        <v>11880042417.201321</v>
      </c>
      <c r="N194" s="68">
        <f t="shared" si="50"/>
        <v>0.1078090357943291</v>
      </c>
      <c r="O194" s="69">
        <f t="shared" si="51"/>
        <v>0.1198721561951841</v>
      </c>
      <c r="P194" s="69">
        <f t="shared" si="52"/>
        <v>1.4369333830882614E-2</v>
      </c>
    </row>
    <row r="195" spans="1:16" x14ac:dyDescent="0.3">
      <c r="A195" s="63">
        <f t="shared" si="53"/>
        <v>182</v>
      </c>
      <c r="C195" s="23">
        <v>18131923415</v>
      </c>
      <c r="D195" s="23" t="s">
        <v>302</v>
      </c>
      <c r="E195" s="23">
        <v>905100</v>
      </c>
      <c r="F195" s="23">
        <v>0.98702290076335875</v>
      </c>
      <c r="G195" s="23">
        <v>44837</v>
      </c>
      <c r="H195" s="23">
        <v>917000</v>
      </c>
      <c r="I195" s="66">
        <f t="shared" si="45"/>
        <v>11900</v>
      </c>
      <c r="J195" s="67">
        <f t="shared" si="46"/>
        <v>141610000</v>
      </c>
      <c r="K195" s="66">
        <f t="shared" si="47"/>
        <v>590004.39267015702</v>
      </c>
      <c r="L195" s="66">
        <f t="shared" si="48"/>
        <v>326995.60732984298</v>
      </c>
      <c r="M195" s="67">
        <f t="shared" si="49"/>
        <v>106926127213.01286</v>
      </c>
      <c r="N195" s="68">
        <f t="shared" si="50"/>
        <v>2.5793288106792933E-2</v>
      </c>
      <c r="O195" s="69">
        <f t="shared" si="51"/>
        <v>3.7856408507647932E-2</v>
      </c>
      <c r="P195" s="69">
        <f t="shared" si="52"/>
        <v>1.4331076650979187E-3</v>
      </c>
    </row>
    <row r="196" spans="1:16" x14ac:dyDescent="0.3">
      <c r="A196" s="63">
        <f t="shared" si="53"/>
        <v>183</v>
      </c>
      <c r="C196" s="23">
        <v>18131531450</v>
      </c>
      <c r="D196" s="23" t="s">
        <v>302</v>
      </c>
      <c r="E196" s="23">
        <v>560200</v>
      </c>
      <c r="F196" s="23">
        <v>1.3349792198879018</v>
      </c>
      <c r="G196" s="23">
        <v>44523</v>
      </c>
      <c r="H196" s="23">
        <v>419632</v>
      </c>
      <c r="I196" s="66">
        <f t="shared" si="45"/>
        <v>-140568</v>
      </c>
      <c r="J196" s="67">
        <f t="shared" si="46"/>
        <v>19759362624</v>
      </c>
      <c r="K196" s="66">
        <f t="shared" si="47"/>
        <v>590004.39267015702</v>
      </c>
      <c r="L196" s="66">
        <f t="shared" si="48"/>
        <v>-170372.39267015702</v>
      </c>
      <c r="M196" s="67">
        <f t="shared" si="49"/>
        <v>29026752184.154171</v>
      </c>
      <c r="N196" s="68">
        <f t="shared" si="50"/>
        <v>0.32216303101775012</v>
      </c>
      <c r="O196" s="69">
        <f t="shared" si="51"/>
        <v>-0.31009991061689512</v>
      </c>
      <c r="P196" s="69">
        <f t="shared" si="52"/>
        <v>9.6161954564606342E-2</v>
      </c>
    </row>
    <row r="197" spans="1:16" x14ac:dyDescent="0.3">
      <c r="A197" s="63">
        <f t="shared" si="53"/>
        <v>184</v>
      </c>
      <c r="C197" s="23">
        <v>18131531442</v>
      </c>
      <c r="D197" s="23" t="s">
        <v>302</v>
      </c>
      <c r="E197" s="23">
        <v>786500</v>
      </c>
      <c r="F197" s="23">
        <v>0.85559251821601612</v>
      </c>
      <c r="G197" s="23">
        <v>44536</v>
      </c>
      <c r="H197" s="23">
        <v>919246</v>
      </c>
      <c r="I197" s="66">
        <f t="shared" si="45"/>
        <v>132746</v>
      </c>
      <c r="J197" s="67">
        <f t="shared" si="46"/>
        <v>17621500516</v>
      </c>
      <c r="K197" s="66">
        <f t="shared" si="47"/>
        <v>590004.39267015702</v>
      </c>
      <c r="L197" s="66">
        <f t="shared" si="48"/>
        <v>329241.60732984298</v>
      </c>
      <c r="M197" s="67">
        <f t="shared" si="49"/>
        <v>108400035997.13852</v>
      </c>
      <c r="N197" s="68">
        <f t="shared" si="50"/>
        <v>0.15722367065413556</v>
      </c>
      <c r="O197" s="69">
        <f t="shared" si="51"/>
        <v>0.16928679105499056</v>
      </c>
      <c r="P197" s="69">
        <f t="shared" si="52"/>
        <v>2.8658017625696031E-2</v>
      </c>
    </row>
    <row r="198" spans="1:16" x14ac:dyDescent="0.3">
      <c r="A198" s="63">
        <f t="shared" si="53"/>
        <v>185</v>
      </c>
      <c r="C198" s="23">
        <v>18131741420</v>
      </c>
      <c r="D198" s="23" t="s">
        <v>302</v>
      </c>
      <c r="E198" s="23">
        <v>1282700</v>
      </c>
      <c r="F198" s="23">
        <v>1.0689166666666667</v>
      </c>
      <c r="G198" s="23">
        <v>45113</v>
      </c>
      <c r="H198" s="23">
        <v>1200000</v>
      </c>
      <c r="I198" s="66">
        <f t="shared" si="45"/>
        <v>-82700</v>
      </c>
      <c r="J198" s="67">
        <f t="shared" si="46"/>
        <v>6839290000</v>
      </c>
      <c r="K198" s="66">
        <f t="shared" si="47"/>
        <v>590004.39267015702</v>
      </c>
      <c r="L198" s="66">
        <f t="shared" si="48"/>
        <v>609995.60732984298</v>
      </c>
      <c r="M198" s="67">
        <f t="shared" si="49"/>
        <v>372094640961.70398</v>
      </c>
      <c r="N198" s="68">
        <f t="shared" si="50"/>
        <v>5.6100477796515058E-2</v>
      </c>
      <c r="O198" s="69">
        <f t="shared" si="51"/>
        <v>-4.4037357395660059E-2</v>
      </c>
      <c r="P198" s="69">
        <f t="shared" si="52"/>
        <v>1.9392888463930958E-3</v>
      </c>
    </row>
    <row r="199" spans="1:16" x14ac:dyDescent="0.3">
      <c r="A199" s="63">
        <f t="shared" si="53"/>
        <v>186</v>
      </c>
      <c r="C199" s="23">
        <v>18131742427</v>
      </c>
      <c r="D199" s="23" t="s">
        <v>302</v>
      </c>
      <c r="E199" s="23">
        <v>1963400</v>
      </c>
      <c r="F199" s="23">
        <v>0.98170000000000002</v>
      </c>
      <c r="G199" s="23">
        <v>45233</v>
      </c>
      <c r="H199" s="23">
        <v>2000000</v>
      </c>
      <c r="I199" s="66">
        <f t="shared" si="45"/>
        <v>36600</v>
      </c>
      <c r="J199" s="67">
        <f t="shared" si="46"/>
        <v>1339560000</v>
      </c>
      <c r="K199" s="66">
        <f t="shared" si="47"/>
        <v>590004.39267015702</v>
      </c>
      <c r="L199" s="66">
        <f t="shared" si="48"/>
        <v>1409995.6073298431</v>
      </c>
      <c r="M199" s="67">
        <f t="shared" si="49"/>
        <v>1988087612689.4531</v>
      </c>
      <c r="N199" s="68">
        <f t="shared" si="50"/>
        <v>3.1116188870151662E-2</v>
      </c>
      <c r="O199" s="69">
        <f t="shared" si="51"/>
        <v>4.3179309271006661E-2</v>
      </c>
      <c r="P199" s="69">
        <f t="shared" si="52"/>
        <v>1.8644527491212418E-3</v>
      </c>
    </row>
    <row r="200" spans="1:16" x14ac:dyDescent="0.3">
      <c r="A200" s="63">
        <f t="shared" si="53"/>
        <v>187</v>
      </c>
      <c r="C200" s="23">
        <v>18131744453</v>
      </c>
      <c r="D200" s="23" t="s">
        <v>302</v>
      </c>
      <c r="E200" s="23">
        <v>1752400</v>
      </c>
      <c r="F200" s="23">
        <v>1.0232992700729926</v>
      </c>
      <c r="G200" s="23">
        <v>44481</v>
      </c>
      <c r="H200" s="23">
        <v>1712500</v>
      </c>
      <c r="I200" s="66">
        <f t="shared" si="45"/>
        <v>-39900</v>
      </c>
      <c r="J200" s="67">
        <f t="shared" si="46"/>
        <v>1592010000</v>
      </c>
      <c r="K200" s="66">
        <f t="shared" si="47"/>
        <v>590004.39267015702</v>
      </c>
      <c r="L200" s="66">
        <f t="shared" si="48"/>
        <v>1122495.6073298431</v>
      </c>
      <c r="M200" s="67">
        <f t="shared" si="49"/>
        <v>1259996388474.7932</v>
      </c>
      <c r="N200" s="68">
        <f t="shared" si="50"/>
        <v>1.0483081202840916E-2</v>
      </c>
      <c r="O200" s="69">
        <f t="shared" si="51"/>
        <v>1.5800391980140827E-3</v>
      </c>
      <c r="P200" s="69">
        <f t="shared" si="52"/>
        <v>2.4965238672609857E-6</v>
      </c>
    </row>
    <row r="201" spans="1:16" x14ac:dyDescent="0.3">
      <c r="A201" s="63">
        <f t="shared" si="53"/>
        <v>188</v>
      </c>
      <c r="C201" s="23">
        <v>18131633445</v>
      </c>
      <c r="D201" s="23" t="s">
        <v>302</v>
      </c>
      <c r="E201" s="23">
        <v>1377400</v>
      </c>
      <c r="F201" s="23">
        <v>0.98738351254480283</v>
      </c>
      <c r="G201" s="23">
        <v>45156</v>
      </c>
      <c r="H201" s="23">
        <v>1395000</v>
      </c>
      <c r="I201" s="66">
        <f t="shared" si="45"/>
        <v>17600</v>
      </c>
      <c r="J201" s="67">
        <f t="shared" si="46"/>
        <v>309760000</v>
      </c>
      <c r="K201" s="66">
        <f t="shared" si="47"/>
        <v>590004.39267015702</v>
      </c>
      <c r="L201" s="66">
        <f t="shared" si="48"/>
        <v>804995.60732984298</v>
      </c>
      <c r="M201" s="67">
        <f t="shared" si="49"/>
        <v>648017927820.34277</v>
      </c>
      <c r="N201" s="68">
        <f t="shared" si="50"/>
        <v>2.5432676325348846E-2</v>
      </c>
      <c r="O201" s="69">
        <f t="shared" si="51"/>
        <v>3.7495796726203845E-2</v>
      </c>
      <c r="P201" s="69">
        <f t="shared" si="52"/>
        <v>1.4059347721327991E-3</v>
      </c>
    </row>
    <row r="202" spans="1:16" x14ac:dyDescent="0.3">
      <c r="A202" s="63">
        <f t="shared" si="53"/>
        <v>189</v>
      </c>
      <c r="C202" s="23">
        <v>18131741414</v>
      </c>
      <c r="D202" s="23" t="s">
        <v>302</v>
      </c>
      <c r="E202" s="23">
        <v>1383300</v>
      </c>
      <c r="F202" s="23">
        <v>0.97073684210526312</v>
      </c>
      <c r="G202" s="23">
        <v>45163</v>
      </c>
      <c r="H202" s="23">
        <v>1425000</v>
      </c>
      <c r="I202" s="66">
        <f t="shared" si="45"/>
        <v>41700</v>
      </c>
      <c r="J202" s="67">
        <f t="shared" si="46"/>
        <v>1738890000</v>
      </c>
      <c r="K202" s="66">
        <f t="shared" si="47"/>
        <v>590004.39267015702</v>
      </c>
      <c r="L202" s="66">
        <f t="shared" si="48"/>
        <v>834995.60732984298</v>
      </c>
      <c r="M202" s="67">
        <f t="shared" si="49"/>
        <v>697217664260.1333</v>
      </c>
      <c r="N202" s="68">
        <f t="shared" si="50"/>
        <v>4.2079346764888559E-2</v>
      </c>
      <c r="O202" s="69">
        <f t="shared" si="51"/>
        <v>5.4142467165743557E-2</v>
      </c>
      <c r="P202" s="69">
        <f t="shared" si="52"/>
        <v>2.9314067507936192E-3</v>
      </c>
    </row>
    <row r="203" spans="1:16" x14ac:dyDescent="0.3">
      <c r="A203" s="63">
        <f t="shared" si="53"/>
        <v>190</v>
      </c>
      <c r="C203" s="23">
        <v>18131643470</v>
      </c>
      <c r="D203" s="23" t="s">
        <v>302</v>
      </c>
      <c r="E203" s="23">
        <v>1780900</v>
      </c>
      <c r="F203" s="23">
        <v>1.0475882352941177</v>
      </c>
      <c r="G203" s="23">
        <v>44715</v>
      </c>
      <c r="H203" s="23">
        <v>1700000</v>
      </c>
      <c r="I203" s="66">
        <f t="shared" si="45"/>
        <v>-80900</v>
      </c>
      <c r="J203" s="67">
        <f t="shared" si="46"/>
        <v>6544810000</v>
      </c>
      <c r="K203" s="66">
        <f t="shared" si="47"/>
        <v>590004.39267015702</v>
      </c>
      <c r="L203" s="66">
        <f t="shared" si="48"/>
        <v>1109995.6073298431</v>
      </c>
      <c r="M203" s="67">
        <f t="shared" si="49"/>
        <v>1232090248291.5471</v>
      </c>
      <c r="N203" s="68">
        <f t="shared" si="50"/>
        <v>3.477204642396603E-2</v>
      </c>
      <c r="O203" s="69">
        <f t="shared" si="51"/>
        <v>-2.2708926023111031E-2</v>
      </c>
      <c r="P203" s="69">
        <f t="shared" si="52"/>
        <v>5.1569532112312943E-4</v>
      </c>
    </row>
    <row r="204" spans="1:16" x14ac:dyDescent="0.3">
      <c r="A204" s="63">
        <f t="shared" si="53"/>
        <v>191</v>
      </c>
      <c r="C204" s="23">
        <v>18131733456</v>
      </c>
      <c r="D204" s="23" t="s">
        <v>302</v>
      </c>
      <c r="E204" s="23">
        <v>1292400</v>
      </c>
      <c r="F204" s="23">
        <v>0.92314285714285715</v>
      </c>
      <c r="G204" s="23">
        <v>44417</v>
      </c>
      <c r="H204" s="23">
        <v>1400000</v>
      </c>
      <c r="I204" s="66">
        <f t="shared" si="45"/>
        <v>107600</v>
      </c>
      <c r="J204" s="67">
        <f t="shared" si="46"/>
        <v>11577760000</v>
      </c>
      <c r="K204" s="66">
        <f t="shared" si="47"/>
        <v>590004.39267015702</v>
      </c>
      <c r="L204" s="66">
        <f t="shared" si="48"/>
        <v>809995.60732984298</v>
      </c>
      <c r="M204" s="67">
        <f t="shared" si="49"/>
        <v>656092883893.64124</v>
      </c>
      <c r="N204" s="68">
        <f t="shared" si="50"/>
        <v>8.9673331727294525E-2</v>
      </c>
      <c r="O204" s="69">
        <f t="shared" si="51"/>
        <v>0.10173645212814952</v>
      </c>
      <c r="P204" s="69">
        <f t="shared" si="52"/>
        <v>1.0350305691623259E-2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Lookups</vt:lpstr>
      <vt:lpstr>Pivots</vt:lpstr>
      <vt:lpstr>YN1 Model TY 2025</vt:lpstr>
      <vt:lpstr>Trimmed Sales</vt:lpstr>
      <vt:lpstr>Ratio Study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Krista Halliday</cp:lastModifiedBy>
  <dcterms:modified xsi:type="dcterms:W3CDTF">2024-08-07T15:53:08Z</dcterms:modified>
</cp:coreProperties>
</file>